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EO1\home\mein Zeug\Business\Finanzbildung an Schulen\09_Berechnungen\Autofinanzierung + ETF\"/>
    </mc:Choice>
  </mc:AlternateContent>
  <xr:revisionPtr revIDLastSave="0" documentId="13_ncr:1_{A5087D24-3A67-40DE-BDA2-0C83236A97E2}" xr6:coauthVersionLast="47" xr6:coauthVersionMax="47" xr10:uidLastSave="{00000000-0000-0000-0000-000000000000}"/>
  <bookViews>
    <workbookView xWindow="-110" yWindow="-110" windowWidth="38620" windowHeight="21220" xr2:uid="{04745729-E83D-40E2-AA15-F5808A252CB4}"/>
  </bookViews>
  <sheets>
    <sheet name="Auto-ETF Tabelle" sheetId="2" r:id="rId1"/>
    <sheet name="Bere. Autokredit vs- ETF" sheetId="4" r:id="rId2"/>
    <sheet name="Bere. Autokredit vs- Auto+ETF" sheetId="5" r:id="rId3"/>
  </sheets>
  <definedNames>
    <definedName name="_xlnm.Print_Area" localSheetId="0">'Auto-ETF Tabelle'!$A$3:$D$24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34" i="2"/>
  <c r="B10" i="2"/>
  <c r="B13" i="2" s="1"/>
  <c r="B18" i="2" s="1"/>
  <c r="B20" i="2"/>
  <c r="C21" i="2"/>
  <c r="B7" i="5"/>
  <c r="B6" i="5"/>
  <c r="B7" i="4"/>
  <c r="B6" i="4"/>
  <c r="B17" i="2" l="1"/>
  <c r="B21" i="2" s="1"/>
  <c r="B14" i="2"/>
  <c r="C14" i="2" s="1"/>
  <c r="C13" i="2"/>
  <c r="C18" i="2" s="1"/>
  <c r="B5" i="5"/>
  <c r="B4" i="5"/>
  <c r="A33" i="5" s="1"/>
  <c r="H33" i="5" s="1"/>
  <c r="B2" i="5"/>
  <c r="B5" i="4"/>
  <c r="B4" i="4"/>
  <c r="A92" i="4" s="1"/>
  <c r="G92" i="4" s="1"/>
  <c r="B2" i="4"/>
  <c r="A91" i="4" l="1"/>
  <c r="H91" i="4" s="1"/>
  <c r="A52" i="4"/>
  <c r="G52" i="4" s="1"/>
  <c r="A24" i="4"/>
  <c r="G24" i="4" s="1"/>
  <c r="A41" i="4"/>
  <c r="H41" i="4" s="1"/>
  <c r="A46" i="4"/>
  <c r="G46" i="4" s="1"/>
  <c r="A83" i="4"/>
  <c r="H83" i="4" s="1"/>
  <c r="A27" i="4"/>
  <c r="H27" i="4" s="1"/>
  <c r="A25" i="4"/>
  <c r="H25" i="4" s="1"/>
  <c r="A31" i="4"/>
  <c r="H31" i="4" s="1"/>
  <c r="A40" i="4"/>
  <c r="G40" i="4" s="1"/>
  <c r="A65" i="4"/>
  <c r="H65" i="4" s="1"/>
  <c r="A66" i="4"/>
  <c r="G66" i="4" s="1"/>
  <c r="A71" i="4"/>
  <c r="H71" i="4" s="1"/>
  <c r="A33" i="4"/>
  <c r="H33" i="4" s="1"/>
  <c r="A45" i="4"/>
  <c r="H45" i="4" s="1"/>
  <c r="A51" i="4"/>
  <c r="H51" i="4" s="1"/>
  <c r="A14" i="4"/>
  <c r="E14" i="4" s="1"/>
  <c r="A73" i="4"/>
  <c r="H73" i="4" s="1"/>
  <c r="A17" i="4"/>
  <c r="H17" i="4" s="1"/>
  <c r="A81" i="4"/>
  <c r="H81" i="4" s="1"/>
  <c r="A41" i="5"/>
  <c r="H41" i="5" s="1"/>
  <c r="A37" i="5"/>
  <c r="E37" i="5" s="1"/>
  <c r="A11" i="5"/>
  <c r="E11" i="5" s="1"/>
  <c r="A43" i="5"/>
  <c r="H43" i="5" s="1"/>
  <c r="A39" i="5"/>
  <c r="H39" i="5" s="1"/>
  <c r="A13" i="5"/>
  <c r="A45" i="5"/>
  <c r="H45" i="5" s="1"/>
  <c r="A15" i="5"/>
  <c r="E15" i="5" s="1"/>
  <c r="A47" i="5"/>
  <c r="H47" i="5" s="1"/>
  <c r="A110" i="5"/>
  <c r="B110" i="5" s="1"/>
  <c r="A17" i="5"/>
  <c r="H17" i="5" s="1"/>
  <c r="A49" i="5"/>
  <c r="H49" i="5" s="1"/>
  <c r="A19" i="5"/>
  <c r="H19" i="5" s="1"/>
  <c r="A21" i="5"/>
  <c r="H21" i="5" s="1"/>
  <c r="A53" i="5"/>
  <c r="H53" i="5" s="1"/>
  <c r="A51" i="5"/>
  <c r="H51" i="5" s="1"/>
  <c r="A23" i="5"/>
  <c r="H23" i="5" s="1"/>
  <c r="A55" i="5"/>
  <c r="H55" i="5" s="1"/>
  <c r="A25" i="5"/>
  <c r="H25" i="5" s="1"/>
  <c r="A57" i="5"/>
  <c r="H57" i="5" s="1"/>
  <c r="A27" i="5"/>
  <c r="H27" i="5" s="1"/>
  <c r="A59" i="5"/>
  <c r="H59" i="5" s="1"/>
  <c r="A29" i="5"/>
  <c r="H29" i="5" s="1"/>
  <c r="A61" i="5"/>
  <c r="H61" i="5" s="1"/>
  <c r="A31" i="5"/>
  <c r="E31" i="5" s="1"/>
  <c r="A35" i="5"/>
  <c r="H35" i="5" s="1"/>
  <c r="A63" i="5"/>
  <c r="A67" i="5"/>
  <c r="A71" i="5"/>
  <c r="A77" i="5"/>
  <c r="A83" i="5"/>
  <c r="A89" i="5"/>
  <c r="A93" i="5"/>
  <c r="A99" i="5"/>
  <c r="A103" i="5"/>
  <c r="A109" i="5"/>
  <c r="B33" i="5"/>
  <c r="A65" i="5"/>
  <c r="A69" i="5"/>
  <c r="A73" i="5"/>
  <c r="A75" i="5"/>
  <c r="A79" i="5"/>
  <c r="A81" i="5"/>
  <c r="A85" i="5"/>
  <c r="A87" i="5"/>
  <c r="A91" i="5"/>
  <c r="A95" i="5"/>
  <c r="A97" i="5"/>
  <c r="A101" i="5"/>
  <c r="A105" i="5"/>
  <c r="A107" i="5"/>
  <c r="C33" i="5"/>
  <c r="D33" i="5"/>
  <c r="F33" i="5"/>
  <c r="G33" i="5"/>
  <c r="E33" i="5"/>
  <c r="A12" i="5"/>
  <c r="A14" i="5"/>
  <c r="A16" i="5"/>
  <c r="A18" i="5"/>
  <c r="A20" i="5"/>
  <c r="A22" i="5"/>
  <c r="A24" i="5"/>
  <c r="A26" i="5"/>
  <c r="A28" i="5"/>
  <c r="A30" i="5"/>
  <c r="A32" i="5"/>
  <c r="A34" i="5"/>
  <c r="A36" i="5"/>
  <c r="A38" i="5"/>
  <c r="A40" i="5"/>
  <c r="A42" i="5"/>
  <c r="A44" i="5"/>
  <c r="A46" i="5"/>
  <c r="A48" i="5"/>
  <c r="A50" i="5"/>
  <c r="A52" i="5"/>
  <c r="A54" i="5"/>
  <c r="A56" i="5"/>
  <c r="A58" i="5"/>
  <c r="A60" i="5"/>
  <c r="A62" i="5"/>
  <c r="A64" i="5"/>
  <c r="A66" i="5"/>
  <c r="A68" i="5"/>
  <c r="A70" i="5"/>
  <c r="A72" i="5"/>
  <c r="A74" i="5"/>
  <c r="A76" i="5"/>
  <c r="A78" i="5"/>
  <c r="A80" i="5"/>
  <c r="A82" i="5"/>
  <c r="A84" i="5"/>
  <c r="A86" i="5"/>
  <c r="A88" i="5"/>
  <c r="A90" i="5"/>
  <c r="A92" i="5"/>
  <c r="A94" i="5"/>
  <c r="A96" i="5"/>
  <c r="A98" i="5"/>
  <c r="A100" i="5"/>
  <c r="A102" i="5"/>
  <c r="A104" i="5"/>
  <c r="A106" i="5"/>
  <c r="A108" i="5"/>
  <c r="A93" i="4"/>
  <c r="H93" i="4" s="1"/>
  <c r="A103" i="4"/>
  <c r="H103" i="4" s="1"/>
  <c r="A105" i="4"/>
  <c r="H105" i="4" s="1"/>
  <c r="A16" i="4"/>
  <c r="A20" i="4"/>
  <c r="H20" i="4" s="1"/>
  <c r="A32" i="4"/>
  <c r="G32" i="4" s="1"/>
  <c r="A61" i="4"/>
  <c r="C61" i="4" s="1"/>
  <c r="A72" i="4"/>
  <c r="G72" i="4" s="1"/>
  <c r="A94" i="4"/>
  <c r="E94" i="4" s="1"/>
  <c r="A104" i="4"/>
  <c r="G104" i="4" s="1"/>
  <c r="A62" i="4"/>
  <c r="B62" i="4" s="1"/>
  <c r="A74" i="4"/>
  <c r="B74" i="4" s="1"/>
  <c r="A84" i="4"/>
  <c r="G84" i="4" s="1"/>
  <c r="A106" i="4"/>
  <c r="E106" i="4" s="1"/>
  <c r="A21" i="4"/>
  <c r="B21" i="4" s="1"/>
  <c r="A26" i="4"/>
  <c r="D26" i="4" s="1"/>
  <c r="A47" i="4"/>
  <c r="G47" i="4" s="1"/>
  <c r="A57" i="4"/>
  <c r="C57" i="4" s="1"/>
  <c r="A67" i="4"/>
  <c r="E67" i="4" s="1"/>
  <c r="A85" i="4"/>
  <c r="H85" i="4" s="1"/>
  <c r="A95" i="4"/>
  <c r="H95" i="4" s="1"/>
  <c r="A34" i="4"/>
  <c r="B34" i="4" s="1"/>
  <c r="A42" i="4"/>
  <c r="H42" i="4" s="1"/>
  <c r="A86" i="4"/>
  <c r="E86" i="4" s="1"/>
  <c r="A96" i="4"/>
  <c r="G96" i="4" s="1"/>
  <c r="A22" i="4"/>
  <c r="E22" i="4" s="1"/>
  <c r="A53" i="4"/>
  <c r="C53" i="4" s="1"/>
  <c r="A63" i="4"/>
  <c r="E63" i="4" s="1"/>
  <c r="A76" i="4"/>
  <c r="G76" i="4" s="1"/>
  <c r="A98" i="4"/>
  <c r="H98" i="4" s="1"/>
  <c r="A108" i="4"/>
  <c r="G108" i="4" s="1"/>
  <c r="A35" i="4"/>
  <c r="B35" i="4" s="1"/>
  <c r="A77" i="4"/>
  <c r="H77" i="4" s="1"/>
  <c r="A87" i="4"/>
  <c r="H87" i="4" s="1"/>
  <c r="A109" i="4"/>
  <c r="H109" i="4" s="1"/>
  <c r="A28" i="4"/>
  <c r="F28" i="4" s="1"/>
  <c r="A43" i="4"/>
  <c r="H43" i="4" s="1"/>
  <c r="A54" i="4"/>
  <c r="C54" i="4" s="1"/>
  <c r="A64" i="4"/>
  <c r="A78" i="4"/>
  <c r="B78" i="4" s="1"/>
  <c r="A88" i="4"/>
  <c r="G88" i="4" s="1"/>
  <c r="A110" i="4"/>
  <c r="H110" i="4" s="1"/>
  <c r="A48" i="4"/>
  <c r="F48" i="4" s="1"/>
  <c r="A58" i="4"/>
  <c r="A68" i="4"/>
  <c r="B68" i="4" s="1"/>
  <c r="A107" i="4"/>
  <c r="H107" i="4" s="1"/>
  <c r="A11" i="4"/>
  <c r="E11" i="4" s="1"/>
  <c r="A18" i="4"/>
  <c r="B18" i="4" s="1"/>
  <c r="A23" i="4"/>
  <c r="B23" i="4" s="1"/>
  <c r="A44" i="4"/>
  <c r="F44" i="4" s="1"/>
  <c r="A49" i="4"/>
  <c r="B49" i="4" s="1"/>
  <c r="A59" i="4"/>
  <c r="G59" i="4" s="1"/>
  <c r="A89" i="4"/>
  <c r="H89" i="4" s="1"/>
  <c r="A99" i="4"/>
  <c r="H99" i="4" s="1"/>
  <c r="A97" i="4"/>
  <c r="H97" i="4" s="1"/>
  <c r="A36" i="4"/>
  <c r="G36" i="4" s="1"/>
  <c r="A69" i="4"/>
  <c r="F69" i="4" s="1"/>
  <c r="A90" i="4"/>
  <c r="E90" i="4" s="1"/>
  <c r="A100" i="4"/>
  <c r="G100" i="4" s="1"/>
  <c r="A12" i="4"/>
  <c r="E12" i="4" s="1"/>
  <c r="A37" i="4"/>
  <c r="H37" i="4" s="1"/>
  <c r="A50" i="4"/>
  <c r="B50" i="4" s="1"/>
  <c r="A60" i="4"/>
  <c r="B60" i="4" s="1"/>
  <c r="A79" i="4"/>
  <c r="H79" i="4" s="1"/>
  <c r="A101" i="4"/>
  <c r="H101" i="4" s="1"/>
  <c r="A75" i="4"/>
  <c r="H75" i="4" s="1"/>
  <c r="A13" i="4"/>
  <c r="E13" i="4" s="1"/>
  <c r="A29" i="4"/>
  <c r="F29" i="4" s="1"/>
  <c r="A38" i="4"/>
  <c r="F38" i="4" s="1"/>
  <c r="A55" i="4"/>
  <c r="C55" i="4" s="1"/>
  <c r="A70" i="4"/>
  <c r="H70" i="4" s="1"/>
  <c r="A80" i="4"/>
  <c r="G80" i="4" s="1"/>
  <c r="A102" i="4"/>
  <c r="B102" i="4" s="1"/>
  <c r="A15" i="4"/>
  <c r="E15" i="4" s="1"/>
  <c r="A19" i="4"/>
  <c r="A30" i="4"/>
  <c r="G30" i="4" s="1"/>
  <c r="A39" i="4"/>
  <c r="H39" i="4" s="1"/>
  <c r="A56" i="4"/>
  <c r="B56" i="4" s="1"/>
  <c r="A82" i="4"/>
  <c r="B82" i="4" s="1"/>
  <c r="D92" i="4"/>
  <c r="E92" i="4"/>
  <c r="F92" i="4"/>
  <c r="H92" i="4"/>
  <c r="E31" i="4"/>
  <c r="B92" i="4"/>
  <c r="C92" i="4"/>
  <c r="B41" i="4" l="1"/>
  <c r="B81" i="4"/>
  <c r="D41" i="4"/>
  <c r="G81" i="4"/>
  <c r="C41" i="4"/>
  <c r="C25" i="4"/>
  <c r="G91" i="4"/>
  <c r="G31" i="4"/>
  <c r="D24" i="4"/>
  <c r="F73" i="4"/>
  <c r="G73" i="4"/>
  <c r="B25" i="4"/>
  <c r="D25" i="4"/>
  <c r="F91" i="4"/>
  <c r="B91" i="4"/>
  <c r="E91" i="4"/>
  <c r="C24" i="4"/>
  <c r="F31" i="4"/>
  <c r="B24" i="4"/>
  <c r="E24" i="4"/>
  <c r="E105" i="4"/>
  <c r="G105" i="4"/>
  <c r="F105" i="4"/>
  <c r="C21" i="5"/>
  <c r="G103" i="4"/>
  <c r="G25" i="4"/>
  <c r="G41" i="4"/>
  <c r="H24" i="4"/>
  <c r="E81" i="4"/>
  <c r="G17" i="4"/>
  <c r="F24" i="4"/>
  <c r="C52" i="4"/>
  <c r="F81" i="4"/>
  <c r="E73" i="4"/>
  <c r="C81" i="4"/>
  <c r="E41" i="4"/>
  <c r="B52" i="4"/>
  <c r="C73" i="4"/>
  <c r="D81" i="4"/>
  <c r="B17" i="4"/>
  <c r="E25" i="4"/>
  <c r="F41" i="4"/>
  <c r="B103" i="4"/>
  <c r="D19" i="5"/>
  <c r="B73" i="4"/>
  <c r="D73" i="4"/>
  <c r="H46" i="4"/>
  <c r="F103" i="4"/>
  <c r="D91" i="4"/>
  <c r="E103" i="4"/>
  <c r="C40" i="4"/>
  <c r="D40" i="4"/>
  <c r="H40" i="4"/>
  <c r="C91" i="4"/>
  <c r="D72" i="4"/>
  <c r="B93" i="4"/>
  <c r="C93" i="4"/>
  <c r="E21" i="5"/>
  <c r="C56" i="4"/>
  <c r="G53" i="4"/>
  <c r="F26" i="4"/>
  <c r="C41" i="5"/>
  <c r="F46" i="4"/>
  <c r="D46" i="4"/>
  <c r="C33" i="4"/>
  <c r="G33" i="4"/>
  <c r="C46" i="4"/>
  <c r="E33" i="4"/>
  <c r="E46" i="4"/>
  <c r="B46" i="4"/>
  <c r="C20" i="4"/>
  <c r="G89" i="4"/>
  <c r="G110" i="5"/>
  <c r="D29" i="5"/>
  <c r="B54" i="4"/>
  <c r="B40" i="4"/>
  <c r="E19" i="5"/>
  <c r="B87" i="4"/>
  <c r="B31" i="4"/>
  <c r="D31" i="4"/>
  <c r="E71" i="4"/>
  <c r="C31" i="4"/>
  <c r="D105" i="4"/>
  <c r="F51" i="4"/>
  <c r="B51" i="4"/>
  <c r="G85" i="4"/>
  <c r="D51" i="4"/>
  <c r="G51" i="4"/>
  <c r="C51" i="4"/>
  <c r="E51" i="4"/>
  <c r="E72" i="4"/>
  <c r="E101" i="4"/>
  <c r="G83" i="4"/>
  <c r="E93" i="4"/>
  <c r="B19" i="5"/>
  <c r="H31" i="5"/>
  <c r="G61" i="5"/>
  <c r="G41" i="5"/>
  <c r="D85" i="4"/>
  <c r="E27" i="4"/>
  <c r="F61" i="5"/>
  <c r="F41" i="5"/>
  <c r="F31" i="5"/>
  <c r="E61" i="5"/>
  <c r="C60" i="4"/>
  <c r="G93" i="4"/>
  <c r="F93" i="4"/>
  <c r="D23" i="5"/>
  <c r="E35" i="5"/>
  <c r="E47" i="5"/>
  <c r="D47" i="5"/>
  <c r="B42" i="4"/>
  <c r="G47" i="5"/>
  <c r="D75" i="4"/>
  <c r="D31" i="5"/>
  <c r="G35" i="5"/>
  <c r="C47" i="5"/>
  <c r="G19" i="5"/>
  <c r="C45" i="5"/>
  <c r="C42" i="4"/>
  <c r="F19" i="5"/>
  <c r="C35" i="5"/>
  <c r="C28" i="4"/>
  <c r="C110" i="5"/>
  <c r="E104" i="4"/>
  <c r="F47" i="5"/>
  <c r="C31" i="5"/>
  <c r="B49" i="5"/>
  <c r="D110" i="5"/>
  <c r="B47" i="5"/>
  <c r="E110" i="5"/>
  <c r="B35" i="5"/>
  <c r="F110" i="5"/>
  <c r="C48" i="4"/>
  <c r="B48" i="4"/>
  <c r="G71" i="4"/>
  <c r="F71" i="4"/>
  <c r="G45" i="5"/>
  <c r="F23" i="5"/>
  <c r="D71" i="4"/>
  <c r="E45" i="5"/>
  <c r="C23" i="5"/>
  <c r="C34" i="4"/>
  <c r="B71" i="4"/>
  <c r="E39" i="4"/>
  <c r="G29" i="5"/>
  <c r="E41" i="5"/>
  <c r="F45" i="4"/>
  <c r="G45" i="4"/>
  <c r="B20" i="4"/>
  <c r="G39" i="4"/>
  <c r="E70" i="4"/>
  <c r="F33" i="4"/>
  <c r="F52" i="4"/>
  <c r="G23" i="5"/>
  <c r="B41" i="5"/>
  <c r="B45" i="4"/>
  <c r="E53" i="4"/>
  <c r="D52" i="4"/>
  <c r="G21" i="5"/>
  <c r="E23" i="5"/>
  <c r="C71" i="4"/>
  <c r="E45" i="4"/>
  <c r="B104" i="4"/>
  <c r="B33" i="4"/>
  <c r="H38" i="4"/>
  <c r="H34" i="4"/>
  <c r="F29" i="5"/>
  <c r="D41" i="5"/>
  <c r="H52" i="4"/>
  <c r="C104" i="4"/>
  <c r="B100" i="4"/>
  <c r="C45" i="4"/>
  <c r="D45" i="4"/>
  <c r="D33" i="4"/>
  <c r="C100" i="4"/>
  <c r="B98" i="4"/>
  <c r="C98" i="4"/>
  <c r="E52" i="4"/>
  <c r="E17" i="5"/>
  <c r="C61" i="5"/>
  <c r="C83" i="4"/>
  <c r="E88" i="4"/>
  <c r="C36" i="4"/>
  <c r="E65" i="4"/>
  <c r="G17" i="5"/>
  <c r="B61" i="5"/>
  <c r="B83" i="4"/>
  <c r="E83" i="4"/>
  <c r="D61" i="5"/>
  <c r="C17" i="5"/>
  <c r="F107" i="4"/>
  <c r="D83" i="4"/>
  <c r="E30" i="4"/>
  <c r="D66" i="4"/>
  <c r="C85" i="4"/>
  <c r="C65" i="4"/>
  <c r="F83" i="4"/>
  <c r="B39" i="5"/>
  <c r="G65" i="4"/>
  <c r="B36" i="4"/>
  <c r="C88" i="4"/>
  <c r="F27" i="4"/>
  <c r="D27" i="4"/>
  <c r="B65" i="4"/>
  <c r="C70" i="4"/>
  <c r="C68" i="4"/>
  <c r="B37" i="4"/>
  <c r="F36" i="4"/>
  <c r="E85" i="4"/>
  <c r="D17" i="5"/>
  <c r="B23" i="5"/>
  <c r="F85" i="4"/>
  <c r="C66" i="4"/>
  <c r="F65" i="4"/>
  <c r="F66" i="4"/>
  <c r="E66" i="4"/>
  <c r="B70" i="4"/>
  <c r="F57" i="4"/>
  <c r="C27" i="4"/>
  <c r="F39" i="4"/>
  <c r="F88" i="4"/>
  <c r="D65" i="4"/>
  <c r="H66" i="4"/>
  <c r="B17" i="5"/>
  <c r="G37" i="4"/>
  <c r="B27" i="4"/>
  <c r="D36" i="4"/>
  <c r="F17" i="5"/>
  <c r="F37" i="4"/>
  <c r="B66" i="4"/>
  <c r="G27" i="4"/>
  <c r="E74" i="4"/>
  <c r="D34" i="4"/>
  <c r="G27" i="5"/>
  <c r="C82" i="4"/>
  <c r="F89" i="4"/>
  <c r="C89" i="4"/>
  <c r="C39" i="4"/>
  <c r="B77" i="4"/>
  <c r="B29" i="4"/>
  <c r="E98" i="4"/>
  <c r="E49" i="4"/>
  <c r="F17" i="4"/>
  <c r="D17" i="4"/>
  <c r="E29" i="5"/>
  <c r="D21" i="5"/>
  <c r="E25" i="5"/>
  <c r="C22" i="4"/>
  <c r="C37" i="4"/>
  <c r="B75" i="4"/>
  <c r="E59" i="4"/>
  <c r="E82" i="4"/>
  <c r="E89" i="4"/>
  <c r="F40" i="4"/>
  <c r="D25" i="5"/>
  <c r="C26" i="4"/>
  <c r="C18" i="4"/>
  <c r="F43" i="4"/>
  <c r="B25" i="5"/>
  <c r="F77" i="4"/>
  <c r="C77" i="4"/>
  <c r="C29" i="4"/>
  <c r="E77" i="4"/>
  <c r="E37" i="4"/>
  <c r="B61" i="4"/>
  <c r="F54" i="4"/>
  <c r="G77" i="4"/>
  <c r="B59" i="4"/>
  <c r="E29" i="4"/>
  <c r="H104" i="4"/>
  <c r="H26" i="4"/>
  <c r="E17" i="4"/>
  <c r="F45" i="5"/>
  <c r="H110" i="5"/>
  <c r="B28" i="4"/>
  <c r="C21" i="4"/>
  <c r="B53" i="4"/>
  <c r="H32" i="4"/>
  <c r="D104" i="4"/>
  <c r="F43" i="5"/>
  <c r="C75" i="4"/>
  <c r="B26" i="4"/>
  <c r="G23" i="4"/>
  <c r="C17" i="4"/>
  <c r="E40" i="4"/>
  <c r="D39" i="4"/>
  <c r="H88" i="4"/>
  <c r="C29" i="5"/>
  <c r="C43" i="4"/>
  <c r="F61" i="4"/>
  <c r="B88" i="4"/>
  <c r="G21" i="4"/>
  <c r="C59" i="4"/>
  <c r="H36" i="4"/>
  <c r="H94" i="4"/>
  <c r="F35" i="4"/>
  <c r="D89" i="4"/>
  <c r="F104" i="4"/>
  <c r="D88" i="4"/>
  <c r="F25" i="4"/>
  <c r="G31" i="5"/>
  <c r="F35" i="5"/>
  <c r="D45" i="5"/>
  <c r="C25" i="5"/>
  <c r="G43" i="4"/>
  <c r="G29" i="4"/>
  <c r="B22" i="4"/>
  <c r="G61" i="4"/>
  <c r="F53" i="4"/>
  <c r="B43" i="4"/>
  <c r="H82" i="4"/>
  <c r="E21" i="4"/>
  <c r="D37" i="5"/>
  <c r="F49" i="4"/>
  <c r="C49" i="4"/>
  <c r="B89" i="4"/>
  <c r="B39" i="4"/>
  <c r="E36" i="4"/>
  <c r="D43" i="4"/>
  <c r="D77" i="4"/>
  <c r="D37" i="4"/>
  <c r="G25" i="5"/>
  <c r="F25" i="5"/>
  <c r="C19" i="5"/>
  <c r="G49" i="4"/>
  <c r="C106" i="4"/>
  <c r="B106" i="4"/>
  <c r="H106" i="4"/>
  <c r="C27" i="5"/>
  <c r="F109" i="4"/>
  <c r="C79" i="4"/>
  <c r="B79" i="4"/>
  <c r="F96" i="4"/>
  <c r="B29" i="5"/>
  <c r="E27" i="5"/>
  <c r="B27" i="5"/>
  <c r="C44" i="4"/>
  <c r="B44" i="4"/>
  <c r="G101" i="4"/>
  <c r="H86" i="4"/>
  <c r="F50" i="4"/>
  <c r="D96" i="4"/>
  <c r="G59" i="5"/>
  <c r="D87" i="4"/>
  <c r="F84" i="4"/>
  <c r="G57" i="5"/>
  <c r="F39" i="5"/>
  <c r="F27" i="5"/>
  <c r="E13" i="5"/>
  <c r="C59" i="5"/>
  <c r="F101" i="4"/>
  <c r="C23" i="4"/>
  <c r="H74" i="4"/>
  <c r="C57" i="5"/>
  <c r="G109" i="4"/>
  <c r="B96" i="4"/>
  <c r="C86" i="4"/>
  <c r="D79" i="4"/>
  <c r="D84" i="4"/>
  <c r="D59" i="5"/>
  <c r="B59" i="5"/>
  <c r="G43" i="5"/>
  <c r="E43" i="5"/>
  <c r="D57" i="5"/>
  <c r="B57" i="5"/>
  <c r="H84" i="4"/>
  <c r="C32" i="4"/>
  <c r="B84" i="4"/>
  <c r="B32" i="4"/>
  <c r="C109" i="4"/>
  <c r="B109" i="4"/>
  <c r="D32" i="4"/>
  <c r="E32" i="4"/>
  <c r="E39" i="5"/>
  <c r="C43" i="5"/>
  <c r="B55" i="5"/>
  <c r="B86" i="4"/>
  <c r="G87" i="4"/>
  <c r="F87" i="4"/>
  <c r="C101" i="4"/>
  <c r="E87" i="4"/>
  <c r="D109" i="4"/>
  <c r="E96" i="4"/>
  <c r="G39" i="5"/>
  <c r="C96" i="4"/>
  <c r="B101" i="4"/>
  <c r="F32" i="4"/>
  <c r="F59" i="5"/>
  <c r="D43" i="5"/>
  <c r="C39" i="5"/>
  <c r="C74" i="4"/>
  <c r="G79" i="4"/>
  <c r="E79" i="4"/>
  <c r="D101" i="4"/>
  <c r="H100" i="4"/>
  <c r="D30" i="4"/>
  <c r="F57" i="5"/>
  <c r="C37" i="5"/>
  <c r="B45" i="5"/>
  <c r="C84" i="4"/>
  <c r="E75" i="4"/>
  <c r="D97" i="4"/>
  <c r="H96" i="4"/>
  <c r="E84" i="4"/>
  <c r="F55" i="5"/>
  <c r="E59" i="5"/>
  <c r="D39" i="5"/>
  <c r="B43" i="5"/>
  <c r="F79" i="4"/>
  <c r="C87" i="4"/>
  <c r="E109" i="4"/>
  <c r="D27" i="5"/>
  <c r="E57" i="5"/>
  <c r="F51" i="5"/>
  <c r="F49" i="5"/>
  <c r="B51" i="5"/>
  <c r="G53" i="5"/>
  <c r="D55" i="5"/>
  <c r="G51" i="5"/>
  <c r="D53" i="5"/>
  <c r="G49" i="5"/>
  <c r="E55" i="5"/>
  <c r="D51" i="5"/>
  <c r="B37" i="5"/>
  <c r="F53" i="5"/>
  <c r="F37" i="5"/>
  <c r="E53" i="5"/>
  <c r="D49" i="5"/>
  <c r="C55" i="5"/>
  <c r="H37" i="5"/>
  <c r="E51" i="5"/>
  <c r="C53" i="5"/>
  <c r="E49" i="5"/>
  <c r="C51" i="5"/>
  <c r="B31" i="5"/>
  <c r="C49" i="5"/>
  <c r="G55" i="5"/>
  <c r="G37" i="5"/>
  <c r="F21" i="5"/>
  <c r="D35" i="5"/>
  <c r="B53" i="5"/>
  <c r="B21" i="5"/>
  <c r="H76" i="5"/>
  <c r="G76" i="5"/>
  <c r="F76" i="5"/>
  <c r="E76" i="5"/>
  <c r="D76" i="5"/>
  <c r="C76" i="5"/>
  <c r="B76" i="5"/>
  <c r="H22" i="5"/>
  <c r="G22" i="5"/>
  <c r="F22" i="5"/>
  <c r="E22" i="5"/>
  <c r="D22" i="5"/>
  <c r="C22" i="5"/>
  <c r="B22" i="5"/>
  <c r="H84" i="5"/>
  <c r="G84" i="5"/>
  <c r="F84" i="5"/>
  <c r="E84" i="5"/>
  <c r="D84" i="5"/>
  <c r="C84" i="5"/>
  <c r="B84" i="5"/>
  <c r="H20" i="5"/>
  <c r="G20" i="5"/>
  <c r="F20" i="5"/>
  <c r="E20" i="5"/>
  <c r="D20" i="5"/>
  <c r="C20" i="5"/>
  <c r="B20" i="5"/>
  <c r="H69" i="5"/>
  <c r="G69" i="5"/>
  <c r="F69" i="5"/>
  <c r="E69" i="5"/>
  <c r="D69" i="5"/>
  <c r="C69" i="5"/>
  <c r="B69" i="5"/>
  <c r="H89" i="5"/>
  <c r="G89" i="5"/>
  <c r="F89" i="5"/>
  <c r="E89" i="5"/>
  <c r="D89" i="5"/>
  <c r="C89" i="5"/>
  <c r="B89" i="5"/>
  <c r="H82" i="5"/>
  <c r="G82" i="5"/>
  <c r="F82" i="5"/>
  <c r="E82" i="5"/>
  <c r="D82" i="5"/>
  <c r="C82" i="5"/>
  <c r="B82" i="5"/>
  <c r="H50" i="5"/>
  <c r="G50" i="5"/>
  <c r="F50" i="5"/>
  <c r="E50" i="5"/>
  <c r="D50" i="5"/>
  <c r="C50" i="5"/>
  <c r="B50" i="5"/>
  <c r="H18" i="5"/>
  <c r="G18" i="5"/>
  <c r="F18" i="5"/>
  <c r="E18" i="5"/>
  <c r="D18" i="5"/>
  <c r="C18" i="5"/>
  <c r="B18" i="5"/>
  <c r="H65" i="5"/>
  <c r="G65" i="5"/>
  <c r="F65" i="5"/>
  <c r="E65" i="5"/>
  <c r="D65" i="5"/>
  <c r="C65" i="5"/>
  <c r="B65" i="5"/>
  <c r="H83" i="5"/>
  <c r="G83" i="5"/>
  <c r="F83" i="5"/>
  <c r="E83" i="5"/>
  <c r="D83" i="5"/>
  <c r="C83" i="5"/>
  <c r="B83" i="5"/>
  <c r="H80" i="5"/>
  <c r="G80" i="5"/>
  <c r="F80" i="5"/>
  <c r="E80" i="5"/>
  <c r="D80" i="5"/>
  <c r="C80" i="5"/>
  <c r="B80" i="5"/>
  <c r="H48" i="5"/>
  <c r="G48" i="5"/>
  <c r="F48" i="5"/>
  <c r="E48" i="5"/>
  <c r="D48" i="5"/>
  <c r="C48" i="5"/>
  <c r="B48" i="5"/>
  <c r="E16" i="5"/>
  <c r="B16" i="5"/>
  <c r="H77" i="5"/>
  <c r="G77" i="5"/>
  <c r="F77" i="5"/>
  <c r="E77" i="5"/>
  <c r="D77" i="5"/>
  <c r="C77" i="5"/>
  <c r="B77" i="5"/>
  <c r="H108" i="5"/>
  <c r="G108" i="5"/>
  <c r="F108" i="5"/>
  <c r="E108" i="5"/>
  <c r="D108" i="5"/>
  <c r="C108" i="5"/>
  <c r="B108" i="5"/>
  <c r="H52" i="5"/>
  <c r="G52" i="5"/>
  <c r="F52" i="5"/>
  <c r="E52" i="5"/>
  <c r="D52" i="5"/>
  <c r="C52" i="5"/>
  <c r="B52" i="5"/>
  <c r="H78" i="5"/>
  <c r="G78" i="5"/>
  <c r="F78" i="5"/>
  <c r="E78" i="5"/>
  <c r="D78" i="5"/>
  <c r="C78" i="5"/>
  <c r="B78" i="5"/>
  <c r="H46" i="5"/>
  <c r="G46" i="5"/>
  <c r="E46" i="5"/>
  <c r="F46" i="5"/>
  <c r="D46" i="5"/>
  <c r="C46" i="5"/>
  <c r="B46" i="5"/>
  <c r="E14" i="5"/>
  <c r="H71" i="5"/>
  <c r="G71" i="5"/>
  <c r="F71" i="5"/>
  <c r="E71" i="5"/>
  <c r="D71" i="5"/>
  <c r="C71" i="5"/>
  <c r="B71" i="5"/>
  <c r="H106" i="5"/>
  <c r="G106" i="5"/>
  <c r="F106" i="5"/>
  <c r="E106" i="5"/>
  <c r="D106" i="5"/>
  <c r="C106" i="5"/>
  <c r="B106" i="5"/>
  <c r="H105" i="5"/>
  <c r="G105" i="5"/>
  <c r="F105" i="5"/>
  <c r="E105" i="5"/>
  <c r="D105" i="5"/>
  <c r="C105" i="5"/>
  <c r="B105" i="5"/>
  <c r="H63" i="5"/>
  <c r="G63" i="5"/>
  <c r="F63" i="5"/>
  <c r="E63" i="5"/>
  <c r="D63" i="5"/>
  <c r="C63" i="5"/>
  <c r="B63" i="5"/>
  <c r="E12" i="5"/>
  <c r="H67" i="5"/>
  <c r="G67" i="5"/>
  <c r="F67" i="5"/>
  <c r="E67" i="5"/>
  <c r="D67" i="5"/>
  <c r="C67" i="5"/>
  <c r="B67" i="5"/>
  <c r="H101" i="5"/>
  <c r="G101" i="5"/>
  <c r="F101" i="5"/>
  <c r="E101" i="5"/>
  <c r="D101" i="5"/>
  <c r="C101" i="5"/>
  <c r="B101" i="5"/>
  <c r="H72" i="5"/>
  <c r="G72" i="5"/>
  <c r="F72" i="5"/>
  <c r="E72" i="5"/>
  <c r="D72" i="5"/>
  <c r="C72" i="5"/>
  <c r="B72" i="5"/>
  <c r="H102" i="5"/>
  <c r="G102" i="5"/>
  <c r="F102" i="5"/>
  <c r="E102" i="5"/>
  <c r="D102" i="5"/>
  <c r="C102" i="5"/>
  <c r="B102" i="5"/>
  <c r="H100" i="5"/>
  <c r="G100" i="5"/>
  <c r="F100" i="5"/>
  <c r="E100" i="5"/>
  <c r="D100" i="5"/>
  <c r="C100" i="5"/>
  <c r="B100" i="5"/>
  <c r="H68" i="5"/>
  <c r="G68" i="5"/>
  <c r="F68" i="5"/>
  <c r="E68" i="5"/>
  <c r="D68" i="5"/>
  <c r="C68" i="5"/>
  <c r="B68" i="5"/>
  <c r="H36" i="5"/>
  <c r="G36" i="5"/>
  <c r="F36" i="5"/>
  <c r="E36" i="5"/>
  <c r="D36" i="5"/>
  <c r="C36" i="5"/>
  <c r="B36" i="5"/>
  <c r="H95" i="5"/>
  <c r="G95" i="5"/>
  <c r="F95" i="5"/>
  <c r="E95" i="5"/>
  <c r="D95" i="5"/>
  <c r="C95" i="5"/>
  <c r="B95" i="5"/>
  <c r="H74" i="5"/>
  <c r="G74" i="5"/>
  <c r="F74" i="5"/>
  <c r="E74" i="5"/>
  <c r="D74" i="5"/>
  <c r="C74" i="5"/>
  <c r="B74" i="5"/>
  <c r="H70" i="5"/>
  <c r="G70" i="5"/>
  <c r="F70" i="5"/>
  <c r="E70" i="5"/>
  <c r="D70" i="5"/>
  <c r="C70" i="5"/>
  <c r="B70" i="5"/>
  <c r="H98" i="5"/>
  <c r="G98" i="5"/>
  <c r="F98" i="5"/>
  <c r="E98" i="5"/>
  <c r="D98" i="5"/>
  <c r="C98" i="5"/>
  <c r="B98" i="5"/>
  <c r="H66" i="5"/>
  <c r="G66" i="5"/>
  <c r="F66" i="5"/>
  <c r="E66" i="5"/>
  <c r="D66" i="5"/>
  <c r="C66" i="5"/>
  <c r="B66" i="5"/>
  <c r="H34" i="5"/>
  <c r="G34" i="5"/>
  <c r="F34" i="5"/>
  <c r="E34" i="5"/>
  <c r="D34" i="5"/>
  <c r="C34" i="5"/>
  <c r="B34" i="5"/>
  <c r="H91" i="5"/>
  <c r="G91" i="5"/>
  <c r="F91" i="5"/>
  <c r="E91" i="5"/>
  <c r="D91" i="5"/>
  <c r="C91" i="5"/>
  <c r="B91" i="5"/>
  <c r="H42" i="5"/>
  <c r="G42" i="5"/>
  <c r="F42" i="5"/>
  <c r="E42" i="5"/>
  <c r="D42" i="5"/>
  <c r="C42" i="5"/>
  <c r="B42" i="5"/>
  <c r="H40" i="5"/>
  <c r="G40" i="5"/>
  <c r="F40" i="5"/>
  <c r="E40" i="5"/>
  <c r="D40" i="5"/>
  <c r="C40" i="5"/>
  <c r="B40" i="5"/>
  <c r="H96" i="5"/>
  <c r="G96" i="5"/>
  <c r="F96" i="5"/>
  <c r="E96" i="5"/>
  <c r="D96" i="5"/>
  <c r="C96" i="5"/>
  <c r="B96" i="5"/>
  <c r="H64" i="5"/>
  <c r="G64" i="5"/>
  <c r="F64" i="5"/>
  <c r="E64" i="5"/>
  <c r="D64" i="5"/>
  <c r="C64" i="5"/>
  <c r="B64" i="5"/>
  <c r="H32" i="5"/>
  <c r="G32" i="5"/>
  <c r="F32" i="5"/>
  <c r="E32" i="5"/>
  <c r="D32" i="5"/>
  <c r="C32" i="5"/>
  <c r="B32" i="5"/>
  <c r="H87" i="5"/>
  <c r="G87" i="5"/>
  <c r="F87" i="5"/>
  <c r="E87" i="5"/>
  <c r="D87" i="5"/>
  <c r="C87" i="5"/>
  <c r="B87" i="5"/>
  <c r="H104" i="5"/>
  <c r="G104" i="5"/>
  <c r="F104" i="5"/>
  <c r="E104" i="5"/>
  <c r="D104" i="5"/>
  <c r="C104" i="5"/>
  <c r="B104" i="5"/>
  <c r="H97" i="5"/>
  <c r="G97" i="5"/>
  <c r="F97" i="5"/>
  <c r="E97" i="5"/>
  <c r="D97" i="5"/>
  <c r="C97" i="5"/>
  <c r="B97" i="5"/>
  <c r="H94" i="5"/>
  <c r="G94" i="5"/>
  <c r="F94" i="5"/>
  <c r="E94" i="5"/>
  <c r="D94" i="5"/>
  <c r="C94" i="5"/>
  <c r="B94" i="5"/>
  <c r="H62" i="5"/>
  <c r="G62" i="5"/>
  <c r="F62" i="5"/>
  <c r="E62" i="5"/>
  <c r="D62" i="5"/>
  <c r="C62" i="5"/>
  <c r="B62" i="5"/>
  <c r="H30" i="5"/>
  <c r="G30" i="5"/>
  <c r="F30" i="5"/>
  <c r="E30" i="5"/>
  <c r="D30" i="5"/>
  <c r="C30" i="5"/>
  <c r="B30" i="5"/>
  <c r="H85" i="5"/>
  <c r="G85" i="5"/>
  <c r="F85" i="5"/>
  <c r="E85" i="5"/>
  <c r="D85" i="5"/>
  <c r="C85" i="5"/>
  <c r="B85" i="5"/>
  <c r="H92" i="5"/>
  <c r="G92" i="5"/>
  <c r="F92" i="5"/>
  <c r="E92" i="5"/>
  <c r="D92" i="5"/>
  <c r="C92" i="5"/>
  <c r="B92" i="5"/>
  <c r="H60" i="5"/>
  <c r="G60" i="5"/>
  <c r="F60" i="5"/>
  <c r="E60" i="5"/>
  <c r="D60" i="5"/>
  <c r="C60" i="5"/>
  <c r="B60" i="5"/>
  <c r="H28" i="5"/>
  <c r="G28" i="5"/>
  <c r="F28" i="5"/>
  <c r="E28" i="5"/>
  <c r="D28" i="5"/>
  <c r="C28" i="5"/>
  <c r="B28" i="5"/>
  <c r="H81" i="5"/>
  <c r="G81" i="5"/>
  <c r="F81" i="5"/>
  <c r="E81" i="5"/>
  <c r="D81" i="5"/>
  <c r="C81" i="5"/>
  <c r="B81" i="5"/>
  <c r="H109" i="5"/>
  <c r="G109" i="5"/>
  <c r="F109" i="5"/>
  <c r="E109" i="5"/>
  <c r="D109" i="5"/>
  <c r="C109" i="5"/>
  <c r="B109" i="5"/>
  <c r="H107" i="5"/>
  <c r="G107" i="5"/>
  <c r="F107" i="5"/>
  <c r="E107" i="5"/>
  <c r="D107" i="5"/>
  <c r="C107" i="5"/>
  <c r="B107" i="5"/>
  <c r="H38" i="5"/>
  <c r="G38" i="5"/>
  <c r="F38" i="5"/>
  <c r="E38" i="5"/>
  <c r="D38" i="5"/>
  <c r="C38" i="5"/>
  <c r="B38" i="5"/>
  <c r="H90" i="5"/>
  <c r="G90" i="5"/>
  <c r="F90" i="5"/>
  <c r="E90" i="5"/>
  <c r="D90" i="5"/>
  <c r="C90" i="5"/>
  <c r="B90" i="5"/>
  <c r="H58" i="5"/>
  <c r="G58" i="5"/>
  <c r="F58" i="5"/>
  <c r="E58" i="5"/>
  <c r="D58" i="5"/>
  <c r="C58" i="5"/>
  <c r="B58" i="5"/>
  <c r="H26" i="5"/>
  <c r="G26" i="5"/>
  <c r="E26" i="5"/>
  <c r="F26" i="5"/>
  <c r="D26" i="5"/>
  <c r="C26" i="5"/>
  <c r="B26" i="5"/>
  <c r="H79" i="5"/>
  <c r="G79" i="5"/>
  <c r="F79" i="5"/>
  <c r="E79" i="5"/>
  <c r="D79" i="5"/>
  <c r="C79" i="5"/>
  <c r="B79" i="5"/>
  <c r="H103" i="5"/>
  <c r="G103" i="5"/>
  <c r="F103" i="5"/>
  <c r="E103" i="5"/>
  <c r="D103" i="5"/>
  <c r="C103" i="5"/>
  <c r="B103" i="5"/>
  <c r="H88" i="5"/>
  <c r="G88" i="5"/>
  <c r="F88" i="5"/>
  <c r="E88" i="5"/>
  <c r="D88" i="5"/>
  <c r="C88" i="5"/>
  <c r="B88" i="5"/>
  <c r="H56" i="5"/>
  <c r="G56" i="5"/>
  <c r="F56" i="5"/>
  <c r="E56" i="5"/>
  <c r="D56" i="5"/>
  <c r="C56" i="5"/>
  <c r="B56" i="5"/>
  <c r="H24" i="5"/>
  <c r="G24" i="5"/>
  <c r="F24" i="5"/>
  <c r="E24" i="5"/>
  <c r="D24" i="5"/>
  <c r="C24" i="5"/>
  <c r="B24" i="5"/>
  <c r="H75" i="5"/>
  <c r="G75" i="5"/>
  <c r="F75" i="5"/>
  <c r="E75" i="5"/>
  <c r="D75" i="5"/>
  <c r="C75" i="5"/>
  <c r="B75" i="5"/>
  <c r="H99" i="5"/>
  <c r="G99" i="5"/>
  <c r="F99" i="5"/>
  <c r="E99" i="5"/>
  <c r="D99" i="5"/>
  <c r="C99" i="5"/>
  <c r="B99" i="5"/>
  <c r="H44" i="5"/>
  <c r="G44" i="5"/>
  <c r="F44" i="5"/>
  <c r="E44" i="5"/>
  <c r="D44" i="5"/>
  <c r="C44" i="5"/>
  <c r="B44" i="5"/>
  <c r="H86" i="5"/>
  <c r="G86" i="5"/>
  <c r="F86" i="5"/>
  <c r="E86" i="5"/>
  <c r="D86" i="5"/>
  <c r="C86" i="5"/>
  <c r="B86" i="5"/>
  <c r="H54" i="5"/>
  <c r="G54" i="5"/>
  <c r="F54" i="5"/>
  <c r="E54" i="5"/>
  <c r="D54" i="5"/>
  <c r="C54" i="5"/>
  <c r="B54" i="5"/>
  <c r="H73" i="5"/>
  <c r="G73" i="5"/>
  <c r="F73" i="5"/>
  <c r="E73" i="5"/>
  <c r="D73" i="5"/>
  <c r="C73" i="5"/>
  <c r="B73" i="5"/>
  <c r="H93" i="5"/>
  <c r="G93" i="5"/>
  <c r="F93" i="5"/>
  <c r="E93" i="5"/>
  <c r="D93" i="5"/>
  <c r="C93" i="5"/>
  <c r="B93" i="5"/>
  <c r="E76" i="4"/>
  <c r="F97" i="4"/>
  <c r="F59" i="4"/>
  <c r="E78" i="4"/>
  <c r="C80" i="4"/>
  <c r="G75" i="4"/>
  <c r="F55" i="4"/>
  <c r="C47" i="4"/>
  <c r="B105" i="4"/>
  <c r="B69" i="4"/>
  <c r="E55" i="4"/>
  <c r="H78" i="4"/>
  <c r="D93" i="4"/>
  <c r="F80" i="4"/>
  <c r="C78" i="4"/>
  <c r="B94" i="4"/>
  <c r="E97" i="4"/>
  <c r="H108" i="4"/>
  <c r="F76" i="4"/>
  <c r="C76" i="4"/>
  <c r="E47" i="4"/>
  <c r="C110" i="4"/>
  <c r="B97" i="4"/>
  <c r="C108" i="4"/>
  <c r="F47" i="4"/>
  <c r="B57" i="4"/>
  <c r="D108" i="4"/>
  <c r="B55" i="4"/>
  <c r="F22" i="4"/>
  <c r="E108" i="4"/>
  <c r="G97" i="4"/>
  <c r="G57" i="4"/>
  <c r="E69" i="4"/>
  <c r="D100" i="4"/>
  <c r="B80" i="4"/>
  <c r="G55" i="4"/>
  <c r="C105" i="4"/>
  <c r="C69" i="4"/>
  <c r="D103" i="4"/>
  <c r="E100" i="4"/>
  <c r="F75" i="4"/>
  <c r="C103" i="4"/>
  <c r="B85" i="4"/>
  <c r="E43" i="4"/>
  <c r="E110" i="4"/>
  <c r="H69" i="4"/>
  <c r="E61" i="4"/>
  <c r="H80" i="4"/>
  <c r="B76" i="4"/>
  <c r="B47" i="4"/>
  <c r="E57" i="4"/>
  <c r="H76" i="4"/>
  <c r="C94" i="4"/>
  <c r="B110" i="4"/>
  <c r="C97" i="4"/>
  <c r="F108" i="4"/>
  <c r="B108" i="4"/>
  <c r="D80" i="4"/>
  <c r="E80" i="4"/>
  <c r="D76" i="4"/>
  <c r="H19" i="4"/>
  <c r="D19" i="4"/>
  <c r="G58" i="4"/>
  <c r="H58" i="4"/>
  <c r="E58" i="4"/>
  <c r="D58" i="4"/>
  <c r="H102" i="4"/>
  <c r="E102" i="4"/>
  <c r="G48" i="4"/>
  <c r="H48" i="4"/>
  <c r="E48" i="4"/>
  <c r="D48" i="4"/>
  <c r="C50" i="4"/>
  <c r="G19" i="4"/>
  <c r="C19" i="4"/>
  <c r="B19" i="4"/>
  <c r="G69" i="4"/>
  <c r="D69" i="4"/>
  <c r="G110" i="4"/>
  <c r="F110" i="4"/>
  <c r="D110" i="4"/>
  <c r="H57" i="4"/>
  <c r="D57" i="4"/>
  <c r="H67" i="4"/>
  <c r="D67" i="4"/>
  <c r="H90" i="4"/>
  <c r="F72" i="4"/>
  <c r="G70" i="4"/>
  <c r="F70" i="4"/>
  <c r="D70" i="4"/>
  <c r="G98" i="4"/>
  <c r="F98" i="4"/>
  <c r="D98" i="4"/>
  <c r="H55" i="4"/>
  <c r="D55" i="4"/>
  <c r="G78" i="4"/>
  <c r="F78" i="4"/>
  <c r="D78" i="4"/>
  <c r="H47" i="4"/>
  <c r="D47" i="4"/>
  <c r="G94" i="4"/>
  <c r="D94" i="4"/>
  <c r="F94" i="4"/>
  <c r="G38" i="4"/>
  <c r="D38" i="4"/>
  <c r="G64" i="4"/>
  <c r="H64" i="4"/>
  <c r="F64" i="4"/>
  <c r="E64" i="4"/>
  <c r="D64" i="4"/>
  <c r="H63" i="4"/>
  <c r="D63" i="4"/>
  <c r="C107" i="4"/>
  <c r="B107" i="4"/>
  <c r="H29" i="4"/>
  <c r="D29" i="4"/>
  <c r="G54" i="4"/>
  <c r="H54" i="4"/>
  <c r="E54" i="4"/>
  <c r="D54" i="4"/>
  <c r="H53" i="4"/>
  <c r="D53" i="4"/>
  <c r="C72" i="4"/>
  <c r="B72" i="4"/>
  <c r="G107" i="4"/>
  <c r="E107" i="4"/>
  <c r="D107" i="4"/>
  <c r="F30" i="4"/>
  <c r="F19" i="4"/>
  <c r="E19" i="4"/>
  <c r="H59" i="4"/>
  <c r="D59" i="4"/>
  <c r="G26" i="4"/>
  <c r="E26" i="4"/>
  <c r="H61" i="4"/>
  <c r="D61" i="4"/>
  <c r="C102" i="4"/>
  <c r="C38" i="4"/>
  <c r="B38" i="4"/>
  <c r="H72" i="4"/>
  <c r="G82" i="4"/>
  <c r="F82" i="4"/>
  <c r="D82" i="4"/>
  <c r="H49" i="4"/>
  <c r="D49" i="4"/>
  <c r="G28" i="4"/>
  <c r="H28" i="4"/>
  <c r="E28" i="4"/>
  <c r="D28" i="4"/>
  <c r="G22" i="4"/>
  <c r="H22" i="4"/>
  <c r="D22" i="4"/>
  <c r="H21" i="4"/>
  <c r="F21" i="4"/>
  <c r="D21" i="4"/>
  <c r="G90" i="4"/>
  <c r="F90" i="4"/>
  <c r="D90" i="4"/>
  <c r="F99" i="4"/>
  <c r="F67" i="4"/>
  <c r="E99" i="4"/>
  <c r="D99" i="4"/>
  <c r="E38" i="4"/>
  <c r="H30" i="4"/>
  <c r="G44" i="4"/>
  <c r="H44" i="4"/>
  <c r="E44" i="4"/>
  <c r="D44" i="4"/>
  <c r="G106" i="4"/>
  <c r="F106" i="4"/>
  <c r="D106" i="4"/>
  <c r="G67" i="4"/>
  <c r="G35" i="4"/>
  <c r="C99" i="4"/>
  <c r="C67" i="4"/>
  <c r="C35" i="4"/>
  <c r="B99" i="4"/>
  <c r="B67" i="4"/>
  <c r="E95" i="4"/>
  <c r="D95" i="4"/>
  <c r="F62" i="4"/>
  <c r="G56" i="4"/>
  <c r="D56" i="4"/>
  <c r="H56" i="4"/>
  <c r="F56" i="4"/>
  <c r="E56" i="4"/>
  <c r="H23" i="4"/>
  <c r="F23" i="4"/>
  <c r="E23" i="4"/>
  <c r="D23" i="4"/>
  <c r="C64" i="4"/>
  <c r="B64" i="4"/>
  <c r="G99" i="4"/>
  <c r="F95" i="4"/>
  <c r="F63" i="4"/>
  <c r="F58" i="4"/>
  <c r="G18" i="4"/>
  <c r="F18" i="4"/>
  <c r="E18" i="4"/>
  <c r="D18" i="4"/>
  <c r="H18" i="4"/>
  <c r="G86" i="4"/>
  <c r="D86" i="4"/>
  <c r="F86" i="4"/>
  <c r="G74" i="4"/>
  <c r="F74" i="4"/>
  <c r="D74" i="4"/>
  <c r="G102" i="4"/>
  <c r="F102" i="4"/>
  <c r="D102" i="4"/>
  <c r="C62" i="4"/>
  <c r="C30" i="4"/>
  <c r="B30" i="4"/>
  <c r="G63" i="4"/>
  <c r="C95" i="4"/>
  <c r="C63" i="4"/>
  <c r="B95" i="4"/>
  <c r="B63" i="4"/>
  <c r="F100" i="4"/>
  <c r="G60" i="4"/>
  <c r="F60" i="4"/>
  <c r="E60" i="4"/>
  <c r="D60" i="4"/>
  <c r="H60" i="4"/>
  <c r="G95" i="4"/>
  <c r="G50" i="4"/>
  <c r="H50" i="4"/>
  <c r="E50" i="4"/>
  <c r="D50" i="4"/>
  <c r="H35" i="4"/>
  <c r="E35" i="4"/>
  <c r="D35" i="4"/>
  <c r="G42" i="4"/>
  <c r="D42" i="4"/>
  <c r="F42" i="4"/>
  <c r="E42" i="4"/>
  <c r="G62" i="4"/>
  <c r="H62" i="4"/>
  <c r="E62" i="4"/>
  <c r="D62" i="4"/>
  <c r="G20" i="4"/>
  <c r="D20" i="4"/>
  <c r="E20" i="4"/>
  <c r="C90" i="4"/>
  <c r="C58" i="4"/>
  <c r="B90" i="4"/>
  <c r="B58" i="4"/>
  <c r="F20" i="4"/>
  <c r="G68" i="4"/>
  <c r="H68" i="4"/>
  <c r="F68" i="4"/>
  <c r="E68" i="4"/>
  <c r="D68" i="4"/>
  <c r="G34" i="4"/>
  <c r="E34" i="4"/>
  <c r="F34" i="4"/>
  <c r="E16" i="4"/>
  <c r="B3" i="5" l="1"/>
  <c r="C43" i="2"/>
  <c r="B42" i="2"/>
  <c r="B32" i="2"/>
  <c r="B35" i="2" s="1"/>
  <c r="C35" i="2" s="1"/>
  <c r="B3" i="4" s="1"/>
  <c r="B16" i="4" s="1"/>
  <c r="B11" i="5" l="1"/>
  <c r="B15" i="5"/>
  <c r="C11" i="5"/>
  <c r="D11" i="5" s="1"/>
  <c r="F11" i="5" s="1"/>
  <c r="G11" i="5" s="1"/>
  <c r="H11" i="5" s="1"/>
  <c r="B13" i="5"/>
  <c r="B12" i="5"/>
  <c r="B14" i="5"/>
  <c r="B11" i="4"/>
  <c r="B14" i="4"/>
  <c r="C11" i="4"/>
  <c r="D11" i="4" s="1"/>
  <c r="F11" i="4" s="1"/>
  <c r="G11" i="4" s="1"/>
  <c r="H11" i="4" s="1"/>
  <c r="B12" i="4"/>
  <c r="B13" i="4"/>
  <c r="B15" i="4"/>
  <c r="C40" i="2"/>
  <c r="B40" i="2"/>
  <c r="B39" i="2"/>
  <c r="B43" i="2" s="1"/>
  <c r="B36" i="2"/>
  <c r="D12" i="5" l="1"/>
  <c r="F12" i="5" s="1"/>
  <c r="G12" i="5" s="1"/>
  <c r="H12" i="5" s="1"/>
  <c r="C12" i="5"/>
  <c r="D12" i="4"/>
  <c r="F12" i="4" s="1"/>
  <c r="G12" i="4" s="1"/>
  <c r="H12" i="4" s="1"/>
  <c r="C12" i="4"/>
  <c r="C36" i="2"/>
  <c r="D13" i="5" l="1"/>
  <c r="F13" i="5" s="1"/>
  <c r="G13" i="5" s="1"/>
  <c r="C13" i="5"/>
  <c r="D13" i="4"/>
  <c r="F13" i="4" s="1"/>
  <c r="G13" i="4" s="1"/>
  <c r="H13" i="4" s="1"/>
  <c r="C13" i="4"/>
  <c r="H13" i="5" l="1"/>
  <c r="D14" i="5" s="1"/>
  <c r="F14" i="5" s="1"/>
  <c r="G14" i="5" s="1"/>
  <c r="H14" i="5" s="1"/>
  <c r="D14" i="4"/>
  <c r="F14" i="4" s="1"/>
  <c r="G14" i="4" s="1"/>
  <c r="C14" i="4"/>
  <c r="C14" i="5" l="1"/>
  <c r="D15" i="5"/>
  <c r="F15" i="5" s="1"/>
  <c r="G15" i="5" s="1"/>
  <c r="H15" i="5" s="1"/>
  <c r="C15" i="5"/>
  <c r="H14" i="4"/>
  <c r="D16" i="5" l="1"/>
  <c r="F16" i="5" s="1"/>
  <c r="G16" i="5" s="1"/>
  <c r="H16" i="5" s="1"/>
  <c r="B8" i="5" s="1"/>
  <c r="C20" i="2" s="1"/>
  <c r="C17" i="2" s="1"/>
  <c r="C16" i="5"/>
  <c r="D15" i="4"/>
  <c r="F15" i="4" s="1"/>
  <c r="G15" i="4" s="1"/>
  <c r="C15" i="4"/>
  <c r="H15" i="4" l="1"/>
  <c r="C16" i="4" l="1"/>
  <c r="D16" i="4"/>
  <c r="F16" i="4" s="1"/>
  <c r="G16" i="4" s="1"/>
  <c r="H16" i="4" s="1"/>
  <c r="B8" i="4" s="1"/>
  <c r="C42" i="2" s="1"/>
  <c r="C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Maz-Finanzbildung</author>
  </authors>
  <commentList>
    <comment ref="C15" authorId="0" shapeId="0" xr:uid="{EF58082F-0D38-493D-9394-E8E4F026ABC6}">
      <text>
        <r>
          <rPr>
            <b/>
            <sz val="10"/>
            <color indexed="81"/>
            <rFont val="Segoe UI"/>
            <family val="2"/>
          </rPr>
          <t>Maz-Finanzbildung:</t>
        </r>
        <r>
          <rPr>
            <sz val="10"/>
            <color indexed="81"/>
            <rFont val="Segoe UI"/>
            <family val="2"/>
          </rPr>
          <t xml:space="preserve">
Freibeträge:
Verheiratet = 2.000 €/Jahr
Ledig = 1.000 €/Jahr</t>
        </r>
      </text>
    </comment>
    <comment ref="C16" authorId="0" shapeId="0" xr:uid="{2B925BA6-1803-4523-BC25-354EB41E0567}">
      <text>
        <r>
          <rPr>
            <b/>
            <sz val="10"/>
            <color indexed="81"/>
            <rFont val="Segoe UI"/>
            <family val="2"/>
          </rPr>
          <t>Maz-Finanzbildung:</t>
        </r>
        <r>
          <rPr>
            <sz val="10"/>
            <color indexed="81"/>
            <rFont val="Segoe UI"/>
            <family val="2"/>
          </rPr>
          <t xml:space="preserve">
Kapitalertragssteuer+Soli stand 2025 
Standard = 26,375 %
Bei Aktienanteil &gt; 51 % = 18,46 %</t>
        </r>
      </text>
    </comment>
    <comment ref="B19" authorId="0" shapeId="0" xr:uid="{0E8689A1-B2A9-432B-B92E-F56DEAAC641F}">
      <text>
        <r>
          <rPr>
            <b/>
            <sz val="9"/>
            <color indexed="81"/>
            <rFont val="Segoe UI"/>
            <family val="2"/>
          </rPr>
          <t>Maz-Finanzbildung:</t>
        </r>
        <r>
          <rPr>
            <sz val="9"/>
            <color indexed="81"/>
            <rFont val="Segoe UI"/>
            <family val="2"/>
          </rPr>
          <t xml:space="preserve">
</t>
        </r>
        <r>
          <rPr>
            <sz val="10"/>
            <color indexed="81"/>
            <rFont val="Segoe UI"/>
            <family val="2"/>
          </rPr>
          <t>Geschätzter Restwert vom Auto eintragen</t>
        </r>
      </text>
    </comment>
    <comment ref="C19" authorId="0" shapeId="0" xr:uid="{DF136F01-2ECB-4D07-9B6F-D197D676E10D}">
      <text>
        <r>
          <rPr>
            <b/>
            <sz val="10"/>
            <color indexed="81"/>
            <rFont val="Segoe UI"/>
            <family val="2"/>
          </rPr>
          <t>Maz-Finanzbildung:</t>
        </r>
        <r>
          <rPr>
            <sz val="10"/>
            <color indexed="81"/>
            <rFont val="Segoe UI"/>
            <family val="2"/>
          </rPr>
          <t xml:space="preserve">
Geschätzer Restwert vom Auto eintragen</t>
        </r>
      </text>
    </comment>
    <comment ref="C37" authorId="0" shapeId="0" xr:uid="{110D64B7-C69E-4B5A-99A7-FEEC185E5AE1}">
      <text>
        <r>
          <rPr>
            <b/>
            <sz val="10"/>
            <color indexed="81"/>
            <rFont val="Segoe UI"/>
            <family val="2"/>
          </rPr>
          <t>Maz-Finanzbildung:</t>
        </r>
        <r>
          <rPr>
            <sz val="10"/>
            <color indexed="81"/>
            <rFont val="Segoe UI"/>
            <family val="2"/>
          </rPr>
          <t xml:space="preserve">
Freibeträge:
Verheiratet = 2.000 €/Jahr
Ledig = 1.000 €/Jahr</t>
        </r>
      </text>
    </comment>
    <comment ref="C38" authorId="0" shapeId="0" xr:uid="{1C42DEC3-AC2E-4924-BCF8-C6D88522FF7D}">
      <text>
        <r>
          <rPr>
            <b/>
            <sz val="10"/>
            <color indexed="81"/>
            <rFont val="Segoe UI"/>
            <family val="2"/>
          </rPr>
          <t>Maz-Finanzbildung:</t>
        </r>
        <r>
          <rPr>
            <sz val="10"/>
            <color indexed="81"/>
            <rFont val="Segoe UI"/>
            <family val="2"/>
          </rPr>
          <t xml:space="preserve">
Kapitalertragssteuer+Soli stand 2025 
Standard = 26,375 %
Bei Aktienanteil &gt; 51 % = 18,46 %</t>
        </r>
      </text>
    </comment>
    <comment ref="B41" authorId="0" shapeId="0" xr:uid="{59363ECE-8285-400C-80CC-40CF01207247}">
      <text>
        <r>
          <rPr>
            <b/>
            <sz val="9"/>
            <color indexed="81"/>
            <rFont val="Segoe UI"/>
            <family val="2"/>
          </rPr>
          <t>Maz-Finanzbildung:</t>
        </r>
        <r>
          <rPr>
            <sz val="9"/>
            <color indexed="81"/>
            <rFont val="Segoe UI"/>
            <family val="2"/>
          </rPr>
          <t xml:space="preserve">
</t>
        </r>
        <r>
          <rPr>
            <sz val="10"/>
            <color indexed="81"/>
            <rFont val="Segoe UI"/>
            <family val="2"/>
          </rPr>
          <t>Geschätzter Restwert vom Auto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Maz-Finanzbildung</author>
  </authors>
  <commentList>
    <comment ref="B6" authorId="0" shapeId="0" xr:uid="{EB655947-96E3-4723-9FE9-319A433E5D5F}">
      <text>
        <r>
          <rPr>
            <b/>
            <sz val="9"/>
            <color indexed="81"/>
            <rFont val="Segoe UI"/>
            <family val="2"/>
          </rPr>
          <t>Maz-Finanzbildung:</t>
        </r>
        <r>
          <rPr>
            <sz val="9"/>
            <color indexed="81"/>
            <rFont val="Segoe UI"/>
            <family val="2"/>
          </rPr>
          <t xml:space="preserve">
</t>
        </r>
        <r>
          <rPr>
            <sz val="10"/>
            <color indexed="81"/>
            <rFont val="Segoe UI"/>
            <family val="2"/>
          </rPr>
          <t>Steuerfreibetrag für ledige stand 2025 = 1.000 €</t>
        </r>
      </text>
    </comment>
    <comment ref="B7" authorId="0" shapeId="0" xr:uid="{8EE4AD79-8E55-4D4D-9B7B-CCFCF56744AB}">
      <text>
        <r>
          <rPr>
            <b/>
            <sz val="10"/>
            <color indexed="81"/>
            <rFont val="Segoe UI"/>
            <family val="2"/>
          </rPr>
          <t>Maz-Finanzbildung:</t>
        </r>
        <r>
          <rPr>
            <sz val="10"/>
            <color indexed="81"/>
            <rFont val="Segoe UI"/>
            <family val="2"/>
          </rPr>
          <t xml:space="preserve">
Kapitalertragssteuer stand 2025 = 26,375 %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Maz-Finanzbildung</author>
  </authors>
  <commentList>
    <comment ref="B6" authorId="0" shapeId="0" xr:uid="{0270F119-192A-4544-AA50-5490E3862841}">
      <text>
        <r>
          <rPr>
            <b/>
            <sz val="9"/>
            <color indexed="81"/>
            <rFont val="Segoe UI"/>
            <family val="2"/>
          </rPr>
          <t>Maz-Finanzbildung:</t>
        </r>
        <r>
          <rPr>
            <sz val="9"/>
            <color indexed="81"/>
            <rFont val="Segoe UI"/>
            <family val="2"/>
          </rPr>
          <t xml:space="preserve">
</t>
        </r>
        <r>
          <rPr>
            <sz val="10"/>
            <color indexed="81"/>
            <rFont val="Segoe UI"/>
            <family val="2"/>
          </rPr>
          <t>Steuerfreibetrag für ledige stand 2025 = 1.000 €</t>
        </r>
      </text>
    </comment>
    <comment ref="B7" authorId="0" shapeId="0" xr:uid="{3D948547-174A-454C-A350-2EDD8246A77C}">
      <text>
        <r>
          <rPr>
            <b/>
            <sz val="9"/>
            <color indexed="81"/>
            <rFont val="Segoe UI"/>
            <family val="2"/>
          </rPr>
          <t>Maz-Finanzbildung:</t>
        </r>
        <r>
          <rPr>
            <sz val="9"/>
            <color indexed="81"/>
            <rFont val="Segoe UI"/>
            <family val="2"/>
          </rPr>
          <t xml:space="preserve">
</t>
        </r>
        <r>
          <rPr>
            <sz val="10"/>
            <color indexed="81"/>
            <rFont val="Segoe UI"/>
            <family val="2"/>
          </rPr>
          <t>Kapitalertragssteuer stand 2025 = 26,375 %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<sst xmlns="http://schemas.openxmlformats.org/spreadsheetml/2006/main" count="100" uniqueCount="51">
  <si>
    <t xml:space="preserve">Anzahlung </t>
  </si>
  <si>
    <t>Restwert Auto</t>
  </si>
  <si>
    <t>Rate pro Monat</t>
  </si>
  <si>
    <t>Sparrate pro Monat</t>
  </si>
  <si>
    <t>Bezahlte Kreditzinsen</t>
  </si>
  <si>
    <t>Kredithöhe</t>
  </si>
  <si>
    <t>Laufzeit in Jahre</t>
  </si>
  <si>
    <t>Gesamtkosten fürs Auto</t>
  </si>
  <si>
    <t>Anschaffungswert</t>
  </si>
  <si>
    <t>Zinsgewinn</t>
  </si>
  <si>
    <t>Gesamte Einzahlungen</t>
  </si>
  <si>
    <t>-</t>
  </si>
  <si>
    <t>Verlust durch Zinsen und Wertminderung</t>
  </si>
  <si>
    <t>keine Verluste</t>
  </si>
  <si>
    <t>Auto-Kredit</t>
  </si>
  <si>
    <t>ETF-Sparplan</t>
  </si>
  <si>
    <t>Eff. Sparzins/Jahr*</t>
  </si>
  <si>
    <t>ETF-Sparplan + "günstiges Auto"</t>
  </si>
  <si>
    <t>Anschaffungswert Auto</t>
  </si>
  <si>
    <t>Anzahlung Auto</t>
  </si>
  <si>
    <t>Verluste durch KFZ- Wertminderung</t>
  </si>
  <si>
    <t>Sparrate pro Jahr</t>
  </si>
  <si>
    <t>Kreditrate pro Jahr</t>
  </si>
  <si>
    <t>Kreditrate pro Monat</t>
  </si>
  <si>
    <t>Eingabefelder</t>
  </si>
  <si>
    <t>Einmalige Einlage (€):</t>
  </si>
  <si>
    <t>Monatliche Einzahlung (€):</t>
  </si>
  <si>
    <t>Laufzeit (Jahre):</t>
  </si>
  <si>
    <t>Durchschnittliche jährliche Rendite (%):</t>
  </si>
  <si>
    <t>Steuerfreibetrag (€):</t>
  </si>
  <si>
    <t>Kapitalertragsteuer (%):</t>
  </si>
  <si>
    <t>Endkapital</t>
  </si>
  <si>
    <t>Jahr</t>
  </si>
  <si>
    <t>Einzahlung (€)</t>
  </si>
  <si>
    <t>Freibetrag (€)</t>
  </si>
  <si>
    <t>Steuerpflichtiger Gewinn (€)</t>
  </si>
  <si>
    <t>Steuer (€)</t>
  </si>
  <si>
    <t>Gesamteinzahlung (€)</t>
  </si>
  <si>
    <t>Zinsgewinn (€)</t>
  </si>
  <si>
    <t>Endwert (netto) (€)</t>
  </si>
  <si>
    <t>Vergleich: Autofinanzierung und ETF-Sparplan</t>
  </si>
  <si>
    <t>Einmalige Einzahlung</t>
  </si>
  <si>
    <t>Einmalige Einzahlung in ETF</t>
  </si>
  <si>
    <t>Restwert Auto = Guthaben</t>
  </si>
  <si>
    <t>Jährlicher Freibetrag</t>
  </si>
  <si>
    <t>Sparguthaben inkl. 
Restwert Auto</t>
  </si>
  <si>
    <t>Sparguthaben</t>
  </si>
  <si>
    <r>
      <t xml:space="preserve">Sparen oder finanzieren? 
</t>
    </r>
    <r>
      <rPr>
        <sz val="12"/>
        <color theme="1"/>
        <rFont val="Calibri"/>
        <family val="2"/>
        <scheme val="minor"/>
      </rPr>
      <t>Triff die richtige Entscheidung für deine Finanzen! Diese Simulation zeigt dir, wie dein Geld wächst – oder schwindet. Nutze deine jungen Jahre, um clever Kapital aufzubauen.</t>
    </r>
  </si>
  <si>
    <r>
      <t xml:space="preserve">Vermögen aufbauen trotz Auto?
</t>
    </r>
    <r>
      <rPr>
        <sz val="12"/>
        <color theme="1"/>
        <rFont val="Calibri"/>
        <family val="2"/>
        <scheme val="minor"/>
      </rPr>
      <t>Diese Simulation zeigt dir, ob es klüger ist, ein teures Auto zu finanzieren oder mit einem günstigeren Modell zu starten und parallel in ETFs zu investieren. Entdecke, welcher Weg dich finanziell weiterbringt.</t>
    </r>
  </si>
  <si>
    <t>Eff. Kredit-Zins pro Jahr</t>
  </si>
  <si>
    <t>Kapitalertragssteuer + Soli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</si>
</sst>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407]_-;\-* #,##0.00\ [$€-407]_-;_-* &quot;-&quot;??\ [$€-407]_-;_-@_-"/>
    <numFmt numFmtId="165" formatCode="0.0%"/>
    <numFmt numFmtId="166" formatCode="0.000%"/>
    <numFmt numFmtId="167" formatCode="_-* #,##0.000_-;\-* #,##0.000_-;_-* &quot;-&quot;??_-;_-@_-"/>
  </numFmts>
  <fonts count="14" x14ac:knownFonts="1">
    <font>
      <sz val="11"/>
      <color theme="1"/>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sz val="10"/>
      <color theme="1"/>
      <name val="Calibri"/>
      <family val="2"/>
      <scheme val="minor"/>
    </font>
    <font>
      <sz val="14"/>
      <color rgb="FFFF0000"/>
      <name val="Calibri"/>
      <family val="2"/>
      <scheme val="minor"/>
    </font>
    <font>
      <sz val="11"/>
      <color theme="1"/>
      <name val="Calibri"/>
      <family val="2"/>
      <scheme val="minor"/>
    </font>
    <font>
      <b/>
      <sz val="14"/>
      <color rgb="FF00B050"/>
      <name val="Calibri"/>
      <family val="2"/>
      <scheme val="minor"/>
    </font>
    <font>
      <b/>
      <sz val="12"/>
      <color theme="1"/>
      <name val="Calibri"/>
      <family val="2"/>
      <scheme val="minor"/>
    </font>
    <font>
      <sz val="12"/>
      <color theme="1"/>
      <name val="Calibri"/>
      <family val="2"/>
      <scheme val="minor"/>
    </font>
    <font>
      <sz val="9"/>
      <color indexed="81"/>
      <name val="Segoe UI"/>
      <family val="2"/>
    </font>
    <font>
      <b/>
      <sz val="9"/>
      <color indexed="81"/>
      <name val="Segoe UI"/>
      <family val="2"/>
    </font>
    <font>
      <sz val="10"/>
      <color indexed="81"/>
      <name val="Segoe UI"/>
      <family val="2"/>
    </font>
    <font>
      <b/>
      <sz val="10"/>
      <color indexed="81"/>
      <name val="Segoe UI"/>
      <family val="2"/>
    </font>
  </fonts>
  <fills count="11">
    <fill>
      <patternFill patternType="none"/>
    </fill>
    <fill>
      <patternFill patternType="gray125"/>
    </fill>
    <fill>
      <patternFill patternType="solid">
        <fgColor theme="0"/>
        <bgColor theme="6" tint="0.59999389629810485"/>
      </patternFill>
    </fill>
    <fill>
      <patternFill patternType="solid">
        <fgColor theme="0"/>
        <bgColor theme="6" tint="0.79998168889431442"/>
      </patternFill>
    </fill>
    <fill>
      <patternFill patternType="solid">
        <fgColor theme="0"/>
        <bgColor indexed="64"/>
      </patternFill>
    </fill>
    <fill>
      <patternFill patternType="solid">
        <fgColor rgb="FFA4F8EE"/>
        <bgColor indexed="64"/>
      </patternFill>
    </fill>
    <fill>
      <patternFill patternType="solid">
        <fgColor rgb="FFACFB99"/>
        <bgColor indexed="64"/>
      </patternFill>
    </fill>
    <fill>
      <patternFill patternType="solid">
        <fgColor theme="0" tint="-4.9989318521683403E-2"/>
        <bgColor indexed="64"/>
      </patternFill>
    </fill>
    <fill>
      <patternFill patternType="solid">
        <fgColor theme="9" tint="0.79998168889431442"/>
        <bgColor theme="6" tint="0.79998168889431442"/>
      </patternFill>
    </fill>
    <fill>
      <patternFill patternType="solid">
        <fgColor rgb="FFFFFF00"/>
        <bgColor theme="6" tint="0.59999389629810485"/>
      </patternFill>
    </fill>
    <fill>
      <patternFill patternType="solid">
        <fgColor rgb="FFFFFF00"/>
        <bgColor theme="6" tint="0.79998168889431442"/>
      </patternFill>
    </fill>
  </fills>
  <borders count="37">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ck">
        <color indexed="64"/>
      </right>
      <top style="thin">
        <color indexed="64"/>
      </top>
      <bottom style="medium">
        <color indexed="64"/>
      </bottom>
      <diagonal/>
    </border>
    <border>
      <left/>
      <right style="thick">
        <color indexed="64"/>
      </right>
      <top/>
      <bottom style="medium">
        <color indexed="64"/>
      </bottom>
      <diagonal/>
    </border>
    <border>
      <left/>
      <right style="thick">
        <color indexed="64"/>
      </right>
      <top/>
      <bottom style="thin">
        <color indexed="64"/>
      </bottom>
      <diagonal/>
    </border>
    <border>
      <left style="thin">
        <color indexed="64"/>
      </left>
      <right/>
      <top style="medium">
        <color indexed="64"/>
      </top>
      <bottom/>
      <diagonal/>
    </border>
    <border>
      <left/>
      <right style="thick">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style="thick">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0">
    <xf numFmtId="0" fontId="0" fillId="0" borderId="0" xfId="0"/>
    <xf numFmtId="0" fontId="4" fillId="4" borderId="0" xfId="0" applyFont="1" applyFill="1"/>
    <xf numFmtId="0" fontId="2" fillId="2" borderId="7" xfId="0" applyFont="1" applyFill="1" applyBorder="1"/>
    <xf numFmtId="164" fontId="2" fillId="2" borderId="3" xfId="0" applyNumberFormat="1" applyFont="1" applyFill="1" applyBorder="1" applyAlignment="1">
      <alignment horizontal="center" vertical="center"/>
    </xf>
    <xf numFmtId="0" fontId="2" fillId="2" borderId="8" xfId="0" applyFont="1" applyFill="1" applyBorder="1" applyAlignment="1">
      <alignment horizontal="right"/>
    </xf>
    <xf numFmtId="164" fontId="5" fillId="2" borderId="6"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0" fontId="0" fillId="4" borderId="0" xfId="0" applyFill="1"/>
    <xf numFmtId="0" fontId="2" fillId="2" borderId="12" xfId="0" applyFont="1" applyFill="1" applyBorder="1"/>
    <xf numFmtId="0" fontId="2" fillId="2" borderId="15" xfId="0" applyFont="1" applyFill="1" applyBorder="1" applyAlignment="1">
      <alignment horizontal="right"/>
    </xf>
    <xf numFmtId="0" fontId="2" fillId="3" borderId="16" xfId="0" applyFont="1" applyFill="1" applyBorder="1"/>
    <xf numFmtId="164" fontId="2" fillId="3" borderId="17" xfId="0" applyNumberFormat="1" applyFont="1" applyFill="1" applyBorder="1" applyAlignment="1">
      <alignment horizontal="center" vertical="center"/>
    </xf>
    <xf numFmtId="164" fontId="2" fillId="3" borderId="18" xfId="0" applyNumberFormat="1" applyFont="1" applyFill="1" applyBorder="1" applyAlignment="1">
      <alignment horizontal="center" vertical="center"/>
    </xf>
    <xf numFmtId="0" fontId="2" fillId="3" borderId="19" xfId="0" applyFont="1" applyFill="1" applyBorder="1" applyAlignment="1">
      <alignment horizontal="right"/>
    </xf>
    <xf numFmtId="0" fontId="2" fillId="2" borderId="20" xfId="0" applyFont="1" applyFill="1" applyBorder="1"/>
    <xf numFmtId="164" fontId="2" fillId="2" borderId="21" xfId="0" applyNumberFormat="1" applyFont="1" applyFill="1" applyBorder="1" applyAlignment="1">
      <alignment horizontal="center" vertical="center"/>
    </xf>
    <xf numFmtId="0" fontId="2" fillId="2" borderId="23" xfId="0" applyFont="1" applyFill="1" applyBorder="1" applyAlignment="1">
      <alignment horizontal="right"/>
    </xf>
    <xf numFmtId="0" fontId="2" fillId="3" borderId="20" xfId="0" applyFont="1" applyFill="1" applyBorder="1"/>
    <xf numFmtId="0" fontId="2" fillId="3" borderId="23" xfId="0" applyFont="1" applyFill="1" applyBorder="1" applyAlignment="1">
      <alignment horizontal="right"/>
    </xf>
    <xf numFmtId="164" fontId="2" fillId="2" borderId="21" xfId="0" applyNumberFormat="1" applyFont="1" applyFill="1" applyBorder="1"/>
    <xf numFmtId="164" fontId="2" fillId="2" borderId="22" xfId="0" applyNumberFormat="1" applyFont="1" applyFill="1" applyBorder="1" applyAlignment="1">
      <alignment horizontal="center" vertical="center"/>
    </xf>
    <xf numFmtId="164" fontId="2" fillId="3" borderId="21" xfId="0" applyNumberFormat="1" applyFont="1" applyFill="1" applyBorder="1" applyAlignment="1">
      <alignment horizontal="center" vertical="center"/>
    </xf>
    <xf numFmtId="0" fontId="0" fillId="7" borderId="0" xfId="0" applyFill="1"/>
    <xf numFmtId="44" fontId="0" fillId="7" borderId="0" xfId="2" applyFont="1" applyFill="1"/>
    <xf numFmtId="0" fontId="8" fillId="7" borderId="0" xfId="0" applyFont="1" applyFill="1"/>
    <xf numFmtId="0" fontId="9" fillId="7" borderId="0" xfId="0" applyFont="1" applyFill="1"/>
    <xf numFmtId="43" fontId="9" fillId="7" borderId="0" xfId="1" applyFont="1" applyFill="1"/>
    <xf numFmtId="2" fontId="9" fillId="7" borderId="0" xfId="0" applyNumberFormat="1" applyFont="1" applyFill="1"/>
    <xf numFmtId="44" fontId="8" fillId="7" borderId="0" xfId="2" applyFont="1" applyFill="1"/>
    <xf numFmtId="164" fontId="2" fillId="3" borderId="22" xfId="0" applyNumberFormat="1" applyFont="1" applyFill="1" applyBorder="1" applyAlignment="1">
      <alignment vertical="center"/>
    </xf>
    <xf numFmtId="0" fontId="3" fillId="2" borderId="5"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3" fillId="2" borderId="28" xfId="0" applyFont="1" applyFill="1" applyBorder="1" applyAlignment="1">
      <alignment wrapText="1"/>
    </xf>
    <xf numFmtId="164" fontId="3" fillId="2" borderId="11" xfId="0" applyNumberFormat="1" applyFont="1" applyFill="1" applyBorder="1" applyAlignment="1">
      <alignment horizontal="center" vertical="center"/>
    </xf>
    <xf numFmtId="0" fontId="1" fillId="8" borderId="29" xfId="0" applyFont="1" applyFill="1" applyBorder="1" applyAlignment="1">
      <alignment horizontal="left" vertical="center" wrapText="1"/>
    </xf>
    <xf numFmtId="164" fontId="1" fillId="8" borderId="30" xfId="0" applyNumberFormat="1" applyFont="1" applyFill="1" applyBorder="1" applyAlignment="1">
      <alignment horizontal="center" vertical="center"/>
    </xf>
    <xf numFmtId="164" fontId="1" fillId="8" borderId="31" xfId="0" applyNumberFormat="1" applyFont="1" applyFill="1" applyBorder="1" applyAlignment="1">
      <alignment horizontal="center" vertical="center"/>
    </xf>
    <xf numFmtId="0" fontId="1" fillId="8" borderId="32" xfId="0" applyFont="1" applyFill="1" applyBorder="1" applyAlignment="1">
      <alignment horizontal="right" vertical="center" wrapText="1"/>
    </xf>
    <xf numFmtId="166" fontId="2" fillId="3" borderId="21" xfId="3" quotePrefix="1" applyNumberFormat="1" applyFont="1" applyFill="1" applyBorder="1" applyAlignment="1">
      <alignment horizontal="center" vertical="center"/>
    </xf>
    <xf numFmtId="164" fontId="2" fillId="3" borderId="21" xfId="0" quotePrefix="1" applyNumberFormat="1" applyFont="1" applyFill="1" applyBorder="1" applyAlignment="1">
      <alignment horizontal="center" vertical="center"/>
    </xf>
    <xf numFmtId="164" fontId="1" fillId="2" borderId="14" xfId="0" applyNumberFormat="1" applyFont="1" applyFill="1" applyBorder="1" applyAlignment="1" applyProtection="1">
      <alignment horizontal="center" vertical="center"/>
      <protection locked="0"/>
    </xf>
    <xf numFmtId="167" fontId="9" fillId="7" borderId="0" xfId="1" applyNumberFormat="1" applyFont="1" applyFill="1" applyProtection="1"/>
    <xf numFmtId="164" fontId="1" fillId="9" borderId="13" xfId="0" applyNumberFormat="1" applyFont="1" applyFill="1" applyBorder="1" applyAlignment="1" applyProtection="1">
      <alignment horizontal="center" vertical="center"/>
      <protection locked="0"/>
    </xf>
    <xf numFmtId="164" fontId="1" fillId="10" borderId="21" xfId="0" applyNumberFormat="1" applyFont="1" applyFill="1" applyBorder="1" applyAlignment="1" applyProtection="1">
      <alignment horizontal="center" vertical="center"/>
      <protection locked="0"/>
    </xf>
    <xf numFmtId="164" fontId="1" fillId="10" borderId="22" xfId="0" applyNumberFormat="1" applyFont="1" applyFill="1" applyBorder="1" applyAlignment="1" applyProtection="1">
      <alignment horizontal="center" vertical="center"/>
      <protection locked="0"/>
    </xf>
    <xf numFmtId="10" fontId="1" fillId="10" borderId="22" xfId="0" applyNumberFormat="1" applyFont="1" applyFill="1" applyBorder="1" applyAlignment="1" applyProtection="1">
      <alignment horizontal="right" vertical="center"/>
      <protection locked="0"/>
    </xf>
    <xf numFmtId="165" fontId="1" fillId="10" borderId="21" xfId="0" applyNumberFormat="1" applyFont="1" applyFill="1" applyBorder="1" applyAlignment="1" applyProtection="1">
      <alignment horizontal="right" vertical="center"/>
      <protection locked="0"/>
    </xf>
    <xf numFmtId="0" fontId="1" fillId="9" borderId="21" xfId="0" applyFont="1" applyFill="1" applyBorder="1" applyAlignment="1" applyProtection="1">
      <alignment horizontal="right" vertical="center"/>
      <protection locked="0"/>
    </xf>
    <xf numFmtId="164" fontId="1" fillId="9" borderId="22" xfId="0" applyNumberFormat="1" applyFont="1" applyFill="1" applyBorder="1" applyAlignment="1" applyProtection="1">
      <alignment horizontal="center" vertical="center"/>
      <protection locked="0"/>
    </xf>
    <xf numFmtId="166" fontId="1" fillId="9" borderId="22" xfId="3" applyNumberFormat="1" applyFont="1" applyFill="1" applyBorder="1" applyAlignment="1" applyProtection="1">
      <alignment horizontal="center" vertical="center"/>
      <protection locked="0"/>
    </xf>
    <xf numFmtId="164" fontId="1" fillId="9" borderId="10" xfId="0" applyNumberFormat="1" applyFont="1" applyFill="1" applyBorder="1" applyAlignment="1" applyProtection="1">
      <alignment horizontal="center" vertical="center"/>
      <protection locked="0"/>
    </xf>
    <xf numFmtId="164" fontId="1" fillId="9" borderId="14" xfId="0" applyNumberFormat="1" applyFont="1" applyFill="1" applyBorder="1" applyAlignment="1" applyProtection="1">
      <alignment horizontal="center" vertical="center"/>
      <protection locked="0"/>
    </xf>
    <xf numFmtId="164" fontId="1" fillId="9" borderId="3" xfId="0" applyNumberFormat="1" applyFont="1" applyFill="1" applyBorder="1" applyAlignment="1">
      <alignment horizontal="center" vertical="center"/>
    </xf>
    <xf numFmtId="0" fontId="2" fillId="0" borderId="22" xfId="0" applyFont="1" applyBorder="1" applyAlignment="1" applyProtection="1">
      <alignment horizontal="right" vertical="center"/>
      <protection locked="0"/>
    </xf>
    <xf numFmtId="0" fontId="1" fillId="5" borderId="1"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2" xfId="0" applyFont="1" applyFill="1" applyBorder="1" applyAlignment="1">
      <alignment horizontal="center" vertical="center"/>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0" xfId="0" applyFont="1" applyAlignment="1">
      <alignment horizontal="left" vertical="top" wrapText="1"/>
    </xf>
    <xf numFmtId="0" fontId="8" fillId="0" borderId="33"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8" fillId="0" borderId="34" xfId="0" applyFont="1" applyBorder="1" applyAlignment="1">
      <alignment horizontal="center" vertical="top" wrapText="1"/>
    </xf>
    <xf numFmtId="0" fontId="8" fillId="0" borderId="35" xfId="0" applyFont="1" applyBorder="1" applyAlignment="1">
      <alignment horizontal="center" vertical="top" wrapText="1"/>
    </xf>
    <xf numFmtId="0" fontId="8" fillId="0" borderId="36" xfId="0" applyFont="1" applyBorder="1" applyAlignment="1">
      <alignment horizontal="center" vertical="top" wrapText="1"/>
    </xf>
    <xf numFmtId="0" fontId="1" fillId="6" borderId="0" xfId="0" applyFont="1" applyFill="1" applyAlignment="1">
      <alignment horizontal="center" vertical="center"/>
    </xf>
  </cellXfs>
  <cellStyles count="4">
    <cellStyle name="Komma" xfId="1" builtinId="3"/>
    <cellStyle name="Prozent" xfId="3" builtinId="5"/>
    <cellStyle name="Standard" xfId="0" builtinId="0"/>
    <cellStyle name="Währung" xfId="2" builtinId="4"/>
  </cellStyles>
  <dxfs count="0"/>
  <tableStyles count="0" defaultTableStyle="TableStyleMedium2" defaultPivotStyle="PivotStyleLight16"/>
  <colors>
    <mruColors>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DCC9A-0195-44D4-8764-DD62EFD03462}">
  <sheetPr>
    <pageSetUpPr fitToPage="1"/>
  </sheetPr>
  <dimension ref="A2:I71"/>
  <sheetViews>
    <sheetView showGridLines="0" tabSelected="1" zoomScale="80" zoomScaleNormal="80" workbookViewId="0">
      <pane ySplit="1" topLeftCell="A2" activePane="bottomLeft" state="frozen"/>
      <selection pane="bottomLeft" activeCell="AF12" sqref="AF12"/>
    </sheetView>
  </sheetViews>
  <sheetFormatPr baseColWidth="10" defaultRowHeight="14.5" x14ac:dyDescent="0.35"/>
  <cols>
    <col min="1" max="1" width="32.6328125" customWidth="1"/>
    <col min="2" max="3" width="15.6328125" customWidth="1"/>
    <col min="4" max="4" width="32.6328125" customWidth="1"/>
    <col min="5" max="5" width="0" hidden="1" customWidth="1"/>
    <col min="6" max="6" width="30.6328125" hidden="1" customWidth="1"/>
    <col min="7" max="8" width="14.6328125" hidden="1" customWidth="1"/>
    <col min="9" max="9" width="30.6328125" hidden="1" customWidth="1"/>
    <col min="10" max="15" width="0" hidden="1" customWidth="1"/>
  </cols>
  <sheetData>
    <row r="2" spans="1:4" ht="14.5" customHeight="1" x14ac:dyDescent="0.35"/>
    <row r="3" spans="1:4" ht="14.5" customHeight="1" x14ac:dyDescent="0.35">
      <c r="A3" s="57" t="s">
        <v>48</v>
      </c>
      <c r="B3" s="58"/>
      <c r="C3" s="59"/>
      <c r="D3" s="66" t="e" vm="1">
        <v>#VALUE!</v>
      </c>
    </row>
    <row r="4" spans="1:4" ht="14.5" customHeight="1" x14ac:dyDescent="0.35">
      <c r="A4" s="60"/>
      <c r="B4" s="61"/>
      <c r="C4" s="62"/>
      <c r="D4" s="67"/>
    </row>
    <row r="5" spans="1:4" ht="14.5" customHeight="1" x14ac:dyDescent="0.35">
      <c r="A5" s="60"/>
      <c r="B5" s="61"/>
      <c r="C5" s="62"/>
      <c r="D5" s="67"/>
    </row>
    <row r="6" spans="1:4" ht="28" customHeight="1" x14ac:dyDescent="0.35">
      <c r="A6" s="63"/>
      <c r="B6" s="64"/>
      <c r="C6" s="65"/>
      <c r="D6" s="68"/>
    </row>
    <row r="7" spans="1:4" ht="26.5" customHeight="1" thickBot="1" x14ac:dyDescent="0.4">
      <c r="A7" s="54" t="s">
        <v>14</v>
      </c>
      <c r="B7" s="55"/>
      <c r="C7" s="56" t="s">
        <v>17</v>
      </c>
      <c r="D7" s="56"/>
    </row>
    <row r="8" spans="1:4" ht="20" customHeight="1" x14ac:dyDescent="0.45">
      <c r="A8" s="8" t="s">
        <v>18</v>
      </c>
      <c r="B8" s="42">
        <v>25000</v>
      </c>
      <c r="C8" s="51">
        <v>5000</v>
      </c>
      <c r="D8" s="9" t="s">
        <v>18</v>
      </c>
    </row>
    <row r="9" spans="1:4" ht="20" customHeight="1" x14ac:dyDescent="0.45">
      <c r="A9" s="17" t="s">
        <v>0</v>
      </c>
      <c r="B9" s="43">
        <v>6000</v>
      </c>
      <c r="C9" s="44">
        <v>1000</v>
      </c>
      <c r="D9" s="18" t="s">
        <v>42</v>
      </c>
    </row>
    <row r="10" spans="1:4" ht="20" customHeight="1" x14ac:dyDescent="0.45">
      <c r="A10" s="14" t="s">
        <v>5</v>
      </c>
      <c r="B10" s="15">
        <f>B8-B9</f>
        <v>19000</v>
      </c>
      <c r="C10" s="20">
        <v>0</v>
      </c>
      <c r="D10" s="16" t="s">
        <v>11</v>
      </c>
    </row>
    <row r="11" spans="1:4" ht="20" customHeight="1" x14ac:dyDescent="0.45">
      <c r="A11" s="17" t="s">
        <v>49</v>
      </c>
      <c r="B11" s="46">
        <v>0.05</v>
      </c>
      <c r="C11" s="45">
        <v>0.08</v>
      </c>
      <c r="D11" s="18" t="s">
        <v>16</v>
      </c>
    </row>
    <row r="12" spans="1:4" ht="20" customHeight="1" x14ac:dyDescent="0.45">
      <c r="A12" s="14" t="s">
        <v>6</v>
      </c>
      <c r="B12" s="47">
        <v>5</v>
      </c>
      <c r="C12" s="53">
        <f>B12</f>
        <v>5</v>
      </c>
      <c r="D12" s="16" t="s">
        <v>6</v>
      </c>
    </row>
    <row r="13" spans="1:4" ht="20" customHeight="1" x14ac:dyDescent="0.45">
      <c r="A13" s="17" t="s">
        <v>23</v>
      </c>
      <c r="B13" s="21">
        <f>-PMT(B11/12,B12*12,B10,)</f>
        <v>358.55343923620779</v>
      </c>
      <c r="C13" s="29">
        <f t="shared" ref="C13:C14" si="0">B13</f>
        <v>358.55343923620779</v>
      </c>
      <c r="D13" s="18" t="s">
        <v>3</v>
      </c>
    </row>
    <row r="14" spans="1:4" ht="20" customHeight="1" x14ac:dyDescent="0.45">
      <c r="A14" s="14" t="s">
        <v>22</v>
      </c>
      <c r="B14" s="19">
        <f>$B$13*12</f>
        <v>4302.6412708344933</v>
      </c>
      <c r="C14" s="20">
        <f t="shared" si="0"/>
        <v>4302.6412708344933</v>
      </c>
      <c r="D14" s="16" t="s">
        <v>21</v>
      </c>
    </row>
    <row r="15" spans="1:4" ht="20" customHeight="1" x14ac:dyDescent="0.45">
      <c r="A15" s="17" t="s">
        <v>44</v>
      </c>
      <c r="B15" s="39" t="s">
        <v>11</v>
      </c>
      <c r="C15" s="48">
        <v>1000</v>
      </c>
      <c r="D15" s="16" t="s">
        <v>44</v>
      </c>
    </row>
    <row r="16" spans="1:4" ht="20" customHeight="1" x14ac:dyDescent="0.45">
      <c r="A16" s="17" t="s">
        <v>50</v>
      </c>
      <c r="B16" s="38" t="s">
        <v>11</v>
      </c>
      <c r="C16" s="49">
        <v>0.26374999999999998</v>
      </c>
      <c r="D16" s="16" t="s">
        <v>50</v>
      </c>
    </row>
    <row r="17" spans="1:9" ht="20" customHeight="1" x14ac:dyDescent="0.45">
      <c r="A17" s="14" t="s">
        <v>4</v>
      </c>
      <c r="B17" s="15">
        <f>(B13*12*B12)-B10</f>
        <v>2513.2063541724674</v>
      </c>
      <c r="C17" s="20">
        <f>C20-C18-C19</f>
        <v>4413.1835364237741</v>
      </c>
      <c r="D17" s="16" t="s">
        <v>9</v>
      </c>
    </row>
    <row r="18" spans="1:9" ht="20" customHeight="1" x14ac:dyDescent="0.45">
      <c r="A18" s="10" t="s">
        <v>7</v>
      </c>
      <c r="B18" s="11">
        <f>B9+B13*12*B12</f>
        <v>27513.206354172467</v>
      </c>
      <c r="C18" s="12">
        <f>C9+C12*12*C13</f>
        <v>22513.206354172467</v>
      </c>
      <c r="D18" s="13" t="s">
        <v>10</v>
      </c>
    </row>
    <row r="19" spans="1:9" ht="20" customHeight="1" thickBot="1" x14ac:dyDescent="0.5">
      <c r="A19" s="2" t="s">
        <v>1</v>
      </c>
      <c r="B19" s="50">
        <v>15000</v>
      </c>
      <c r="C19" s="52">
        <v>3000</v>
      </c>
      <c r="D19" s="4" t="s">
        <v>1</v>
      </c>
    </row>
    <row r="20" spans="1:9" ht="37.5" customHeight="1" thickBot="1" x14ac:dyDescent="0.4">
      <c r="A20" s="34" t="s">
        <v>43</v>
      </c>
      <c r="B20" s="35">
        <f>B19</f>
        <v>15000</v>
      </c>
      <c r="C20" s="36">
        <f>'Bere. Autokredit vs- Auto+ETF'!B8+C19</f>
        <v>29926.389890596241</v>
      </c>
      <c r="D20" s="37" t="s">
        <v>45</v>
      </c>
    </row>
    <row r="21" spans="1:9" ht="39" customHeight="1" x14ac:dyDescent="0.45">
      <c r="A21" s="32" t="s">
        <v>12</v>
      </c>
      <c r="B21" s="33">
        <f>-(B17+(B8-B19))</f>
        <v>-12513.206354172467</v>
      </c>
      <c r="C21" s="6">
        <f>C19-C8</f>
        <v>-2000</v>
      </c>
      <c r="D21" s="31" t="s">
        <v>20</v>
      </c>
    </row>
    <row r="22" spans="1:9" ht="5.5" customHeight="1" x14ac:dyDescent="0.35">
      <c r="A22" s="1"/>
      <c r="B22" s="1"/>
      <c r="C22" s="1"/>
      <c r="D22" s="1"/>
      <c r="F22" s="1"/>
      <c r="G22" s="1"/>
      <c r="H22" s="1"/>
      <c r="I22" s="1"/>
    </row>
    <row r="23" spans="1:9" x14ac:dyDescent="0.35">
      <c r="A23" s="7"/>
      <c r="B23" s="1"/>
      <c r="C23" s="1"/>
      <c r="D23" s="1"/>
      <c r="F23" s="7"/>
      <c r="G23" s="1"/>
      <c r="H23" s="1"/>
      <c r="I23" s="1"/>
    </row>
    <row r="25" spans="1:9" ht="14.5" customHeight="1" x14ac:dyDescent="0.35">
      <c r="A25" s="57" t="s">
        <v>47</v>
      </c>
      <c r="B25" s="58"/>
      <c r="C25" s="59"/>
      <c r="D25" s="66" t="e" vm="2">
        <v>#VALUE!</v>
      </c>
    </row>
    <row r="26" spans="1:9" ht="14.5" customHeight="1" x14ac:dyDescent="0.35">
      <c r="A26" s="60"/>
      <c r="B26" s="61"/>
      <c r="C26" s="62"/>
      <c r="D26" s="67"/>
    </row>
    <row r="27" spans="1:9" ht="27" customHeight="1" x14ac:dyDescent="0.35">
      <c r="A27" s="60"/>
      <c r="B27" s="61"/>
      <c r="C27" s="62"/>
      <c r="D27" s="67"/>
    </row>
    <row r="28" spans="1:9" ht="25" customHeight="1" x14ac:dyDescent="0.35">
      <c r="A28" s="63"/>
      <c r="B28" s="64"/>
      <c r="C28" s="65"/>
      <c r="D28" s="68"/>
    </row>
    <row r="29" spans="1:9" ht="26.5" customHeight="1" thickBot="1" x14ac:dyDescent="0.4">
      <c r="A29" s="54" t="s">
        <v>14</v>
      </c>
      <c r="B29" s="55"/>
      <c r="C29" s="56" t="s">
        <v>15</v>
      </c>
      <c r="D29" s="56"/>
    </row>
    <row r="30" spans="1:9" ht="20" customHeight="1" x14ac:dyDescent="0.45">
      <c r="A30" s="8" t="s">
        <v>8</v>
      </c>
      <c r="B30" s="42">
        <v>25000</v>
      </c>
      <c r="C30" s="40">
        <v>0</v>
      </c>
      <c r="D30" s="9" t="s">
        <v>8</v>
      </c>
    </row>
    <row r="31" spans="1:9" ht="20" customHeight="1" x14ac:dyDescent="0.45">
      <c r="A31" s="17" t="s">
        <v>19</v>
      </c>
      <c r="B31" s="43">
        <v>2000</v>
      </c>
      <c r="C31" s="44">
        <v>2000</v>
      </c>
      <c r="D31" s="18" t="s">
        <v>41</v>
      </c>
    </row>
    <row r="32" spans="1:9" ht="20" customHeight="1" x14ac:dyDescent="0.45">
      <c r="A32" s="14" t="s">
        <v>5</v>
      </c>
      <c r="B32" s="15">
        <f>B30-B31</f>
        <v>23000</v>
      </c>
      <c r="C32" s="20">
        <v>0</v>
      </c>
      <c r="D32" s="16" t="s">
        <v>11</v>
      </c>
    </row>
    <row r="33" spans="1:4" ht="20" customHeight="1" x14ac:dyDescent="0.45">
      <c r="A33" s="17" t="s">
        <v>49</v>
      </c>
      <c r="B33" s="46">
        <v>0.05</v>
      </c>
      <c r="C33" s="45">
        <v>0.08</v>
      </c>
      <c r="D33" s="18" t="s">
        <v>16</v>
      </c>
    </row>
    <row r="34" spans="1:4" ht="20" customHeight="1" x14ac:dyDescent="0.45">
      <c r="A34" s="14" t="s">
        <v>6</v>
      </c>
      <c r="B34" s="47">
        <v>5</v>
      </c>
      <c r="C34" s="53">
        <f>B34</f>
        <v>5</v>
      </c>
      <c r="D34" s="16" t="s">
        <v>6</v>
      </c>
    </row>
    <row r="35" spans="1:4" ht="20" customHeight="1" x14ac:dyDescent="0.45">
      <c r="A35" s="17" t="s">
        <v>2</v>
      </c>
      <c r="B35" s="21">
        <f>-PMT(B33/12,B34*12,B32,)</f>
        <v>434.03837381225145</v>
      </c>
      <c r="C35" s="29">
        <f t="shared" ref="C35:C36" si="1">B35</f>
        <v>434.03837381225145</v>
      </c>
      <c r="D35" s="18" t="s">
        <v>3</v>
      </c>
    </row>
    <row r="36" spans="1:4" ht="20" customHeight="1" x14ac:dyDescent="0.45">
      <c r="A36" s="14" t="s">
        <v>22</v>
      </c>
      <c r="B36" s="19">
        <f>$B$35*12</f>
        <v>5208.4604857470176</v>
      </c>
      <c r="C36" s="20">
        <f t="shared" si="1"/>
        <v>5208.4604857470176</v>
      </c>
      <c r="D36" s="16" t="s">
        <v>21</v>
      </c>
    </row>
    <row r="37" spans="1:4" ht="20" customHeight="1" x14ac:dyDescent="0.45">
      <c r="A37" s="17" t="s">
        <v>44</v>
      </c>
      <c r="B37" s="39" t="s">
        <v>11</v>
      </c>
      <c r="C37" s="48">
        <v>1000</v>
      </c>
      <c r="D37" s="16" t="s">
        <v>44</v>
      </c>
    </row>
    <row r="38" spans="1:4" ht="20" customHeight="1" x14ac:dyDescent="0.45">
      <c r="A38" s="17" t="s">
        <v>50</v>
      </c>
      <c r="B38" s="38" t="s">
        <v>11</v>
      </c>
      <c r="C38" s="49">
        <v>0.26374999999999998</v>
      </c>
      <c r="D38" s="16" t="s">
        <v>50</v>
      </c>
    </row>
    <row r="39" spans="1:4" ht="20" customHeight="1" x14ac:dyDescent="0.45">
      <c r="A39" s="14" t="s">
        <v>4</v>
      </c>
      <c r="B39" s="15">
        <f>(B35*12*B34)-B32</f>
        <v>3042.3024287350891</v>
      </c>
      <c r="C39" s="20">
        <f>C42-C40</f>
        <v>5527.1779728839902</v>
      </c>
      <c r="D39" s="16" t="s">
        <v>9</v>
      </c>
    </row>
    <row r="40" spans="1:4" ht="20" customHeight="1" x14ac:dyDescent="0.45">
      <c r="A40" s="10" t="s">
        <v>7</v>
      </c>
      <c r="B40" s="11">
        <f>B31+(B35*12*B34)</f>
        <v>28042.302428735089</v>
      </c>
      <c r="C40" s="12">
        <f>C31+C34*12*C35</f>
        <v>28042.302428735085</v>
      </c>
      <c r="D40" s="13" t="s">
        <v>10</v>
      </c>
    </row>
    <row r="41" spans="1:4" ht="20" customHeight="1" thickBot="1" x14ac:dyDescent="0.5">
      <c r="A41" s="2" t="s">
        <v>1</v>
      </c>
      <c r="B41" s="50">
        <v>15000</v>
      </c>
      <c r="C41" s="3">
        <v>0</v>
      </c>
      <c r="D41" s="4" t="s">
        <v>11</v>
      </c>
    </row>
    <row r="42" spans="1:4" ht="37.5" customHeight="1" thickBot="1" x14ac:dyDescent="0.4">
      <c r="A42" s="34" t="s">
        <v>43</v>
      </c>
      <c r="B42" s="35">
        <f>B41</f>
        <v>15000</v>
      </c>
      <c r="C42" s="36">
        <f>'Bere. Autokredit vs- ETF'!B8+C41</f>
        <v>33569.480401619076</v>
      </c>
      <c r="D42" s="37" t="s">
        <v>46</v>
      </c>
    </row>
    <row r="43" spans="1:4" ht="37" x14ac:dyDescent="0.45">
      <c r="A43" s="32" t="s">
        <v>12</v>
      </c>
      <c r="B43" s="33">
        <f>-(B39+(B30-B41))</f>
        <v>-13042.302428735089</v>
      </c>
      <c r="C43" s="5">
        <f>C30-C41</f>
        <v>0</v>
      </c>
      <c r="D43" s="30" t="s">
        <v>13</v>
      </c>
    </row>
    <row r="54" ht="7.5" customHeight="1" x14ac:dyDescent="0.35"/>
    <row r="59" ht="27" customHeight="1" x14ac:dyDescent="0.35"/>
    <row r="71" ht="9" customHeight="1" x14ac:dyDescent="0.35"/>
  </sheetData>
  <sheetProtection algorithmName="SHA-512" hashValue="IvjKDNQzqOL/fzUAf6bfcwpMmm1uZJCiD6+jPItisccF6NPNZ8I4hHQ60vyBoZDBB70CByaFzSPzZ5wnEI7how==" saltValue="/VXklWKsEFOFc6aqQybemg==" spinCount="100000" sheet="1" formatColumns="0" formatRows="0"/>
  <mergeCells count="8">
    <mergeCell ref="A7:B7"/>
    <mergeCell ref="C7:D7"/>
    <mergeCell ref="A29:B29"/>
    <mergeCell ref="C29:D29"/>
    <mergeCell ref="A25:C28"/>
    <mergeCell ref="A3:C6"/>
    <mergeCell ref="D25:D28"/>
    <mergeCell ref="D3:D6"/>
  </mergeCells>
  <pageMargins left="0.70866141732283472" right="0.70866141732283472" top="0.78740157480314965" bottom="0.78740157480314965" header="0.31496062992125984" footer="0.31496062992125984"/>
  <pageSetup paperSize="9" scale="83" orientation="portrait" horizontalDpi="360" verticalDpi="36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BA6D-C665-42D1-B422-6562D49BC218}">
  <dimension ref="A1:H110"/>
  <sheetViews>
    <sheetView workbookViewId="0">
      <selection activeCell="P11" sqref="A1:XFD1048576"/>
    </sheetView>
  </sheetViews>
  <sheetFormatPr baseColWidth="10" defaultColWidth="8.7265625" defaultRowHeight="14.5" x14ac:dyDescent="0.35"/>
  <cols>
    <col min="1" max="1" width="35" style="22" customWidth="1"/>
    <col min="2" max="3" width="23.90625" style="22" customWidth="1"/>
    <col min="4" max="4" width="20.6328125" style="22" customWidth="1"/>
    <col min="5" max="5" width="22.54296875" style="22" customWidth="1"/>
    <col min="6" max="6" width="24.36328125" style="22" customWidth="1"/>
    <col min="7" max="7" width="19.1796875" style="22" customWidth="1"/>
    <col min="8" max="8" width="24.36328125" style="22" customWidth="1"/>
    <col min="9" max="16384" width="8.7265625" style="22"/>
  </cols>
  <sheetData>
    <row r="1" spans="1:8" ht="15.5" x14ac:dyDescent="0.35">
      <c r="A1" s="24" t="s">
        <v>24</v>
      </c>
      <c r="B1" s="25"/>
    </row>
    <row r="2" spans="1:8" ht="15.5" x14ac:dyDescent="0.35">
      <c r="A2" s="25" t="s">
        <v>25</v>
      </c>
      <c r="B2" s="26">
        <f>'Auto-ETF Tabelle'!C31</f>
        <v>2000</v>
      </c>
    </row>
    <row r="3" spans="1:8" ht="15.5" x14ac:dyDescent="0.35">
      <c r="A3" s="25" t="s">
        <v>26</v>
      </c>
      <c r="B3" s="27">
        <f>'Auto-ETF Tabelle'!C35</f>
        <v>434.03837381225145</v>
      </c>
    </row>
    <row r="4" spans="1:8" ht="19" thickBot="1" x14ac:dyDescent="0.4">
      <c r="A4" s="25" t="s">
        <v>27</v>
      </c>
      <c r="B4" s="25">
        <f>'Auto-ETF Tabelle'!C34</f>
        <v>5</v>
      </c>
      <c r="E4" s="54" t="s">
        <v>40</v>
      </c>
      <c r="F4" s="56"/>
      <c r="G4" s="56"/>
    </row>
    <row r="5" spans="1:8" ht="15.5" x14ac:dyDescent="0.35">
      <c r="A5" s="25" t="s">
        <v>28</v>
      </c>
      <c r="B5" s="26">
        <f>'Auto-ETF Tabelle'!C33*100</f>
        <v>8</v>
      </c>
    </row>
    <row r="6" spans="1:8" ht="15.5" x14ac:dyDescent="0.35">
      <c r="A6" s="25" t="s">
        <v>29</v>
      </c>
      <c r="B6" s="27">
        <f>'Auto-ETF Tabelle'!C37</f>
        <v>1000</v>
      </c>
    </row>
    <row r="7" spans="1:8" ht="15.5" x14ac:dyDescent="0.35">
      <c r="A7" s="25" t="s">
        <v>30</v>
      </c>
      <c r="B7" s="41">
        <f>'Auto-ETF Tabelle'!C38*100</f>
        <v>26.375</v>
      </c>
    </row>
    <row r="8" spans="1:8" ht="15.5" x14ac:dyDescent="0.35">
      <c r="A8" s="24" t="s">
        <v>31</v>
      </c>
      <c r="B8" s="28">
        <f>MAX(H:H)</f>
        <v>33569.480401619076</v>
      </c>
    </row>
    <row r="9" spans="1:8" x14ac:dyDescent="0.35">
      <c r="B9" s="23"/>
    </row>
    <row r="10" spans="1:8" x14ac:dyDescent="0.35">
      <c r="A10" s="22" t="s">
        <v>32</v>
      </c>
      <c r="B10" s="22" t="s">
        <v>33</v>
      </c>
      <c r="C10" s="22" t="s">
        <v>37</v>
      </c>
      <c r="D10" s="22" t="s">
        <v>38</v>
      </c>
      <c r="E10" s="22" t="s">
        <v>34</v>
      </c>
      <c r="F10" s="22" t="s">
        <v>35</v>
      </c>
      <c r="G10" s="22" t="s">
        <v>36</v>
      </c>
      <c r="H10" s="22" t="s">
        <v>39</v>
      </c>
    </row>
    <row r="11" spans="1:8" x14ac:dyDescent="0.35">
      <c r="A11" s="22">
        <f>IF(1&lt;=B4,1,"")</f>
        <v>1</v>
      </c>
      <c r="B11" s="22">
        <f>IF(A11&lt;&gt;"",B3*12,"")</f>
        <v>5208.4604857470176</v>
      </c>
      <c r="C11" s="22">
        <f>IF(A11&lt;&gt;"",B2+B3*12,"")</f>
        <v>7208.4604857470176</v>
      </c>
      <c r="D11" s="22">
        <f>IF(A11&lt;&gt;"",C11*B5/100,"")</f>
        <v>576.67683885976146</v>
      </c>
      <c r="E11" s="22">
        <f>IF(A11&lt;&gt;"",B6,"")</f>
        <v>1000</v>
      </c>
      <c r="F11" s="22">
        <f t="shared" ref="F11:F74" si="0">IF(A11&lt;&gt;"",MAX(0,D11-E11),"")</f>
        <v>0</v>
      </c>
      <c r="G11" s="22">
        <f>IF(A11&lt;&gt;"",F11*B7/100,"")</f>
        <v>0</v>
      </c>
      <c r="H11" s="22">
        <f>IF(A11&lt;&gt;"",C11+D11-G11,"")</f>
        <v>7785.1373246067787</v>
      </c>
    </row>
    <row r="12" spans="1:8" x14ac:dyDescent="0.35">
      <c r="A12" s="22">
        <f>IF(2&lt;=B4,2,"")</f>
        <v>2</v>
      </c>
      <c r="B12" s="22">
        <f>IF(A12&lt;&gt;"",B3*12,"")</f>
        <v>5208.4604857470176</v>
      </c>
      <c r="C12" s="22">
        <f>IF(A12&lt;&gt;"",H11+B3*12,"")</f>
        <v>12993.597810353796</v>
      </c>
      <c r="D12" s="22">
        <f>IF(A12&lt;&gt;"",H11*B5/100,"")</f>
        <v>622.81098596854235</v>
      </c>
      <c r="E12" s="22">
        <f>IF(A12&lt;&gt;"",B6,"")</f>
        <v>1000</v>
      </c>
      <c r="F12" s="22">
        <f t="shared" si="0"/>
        <v>0</v>
      </c>
      <c r="G12" s="22">
        <f>IF(A12&lt;&gt;"",F12*B7/100,"")</f>
        <v>0</v>
      </c>
      <c r="H12" s="22">
        <f>IF(A12&lt;&gt;"",H11+B3*12+D12-G12,"")</f>
        <v>13616.408796322339</v>
      </c>
    </row>
    <row r="13" spans="1:8" x14ac:dyDescent="0.35">
      <c r="A13" s="22">
        <f>IF(3&lt;=B4,3,"")</f>
        <v>3</v>
      </c>
      <c r="B13" s="22">
        <f>IF(A13&lt;&gt;"",B3*12,"")</f>
        <v>5208.4604857470176</v>
      </c>
      <c r="C13" s="22">
        <f>IF(A13&lt;&gt;"",H12+B3*12,"")</f>
        <v>18824.869282069358</v>
      </c>
      <c r="D13" s="22">
        <f>IF(A13&lt;&gt;"",H12*B5/100,"")</f>
        <v>1089.312703705787</v>
      </c>
      <c r="E13" s="22">
        <f>IF(A13&lt;&gt;"",B6,"")</f>
        <v>1000</v>
      </c>
      <c r="F13" s="22">
        <f t="shared" si="0"/>
        <v>89.312703705787044</v>
      </c>
      <c r="G13" s="22">
        <f>IF(A13&lt;&gt;"",F13*B7/100,"")</f>
        <v>23.556225602401334</v>
      </c>
      <c r="H13" s="22">
        <f>IF(A13&lt;&gt;"",H12+B3*12+D13-G13,"")</f>
        <v>19890.625760172741</v>
      </c>
    </row>
    <row r="14" spans="1:8" x14ac:dyDescent="0.35">
      <c r="A14" s="22">
        <f>IF(4&lt;=B4,4,"")</f>
        <v>4</v>
      </c>
      <c r="B14" s="22">
        <f>IF(A14&lt;&gt;"",B3*12,"")</f>
        <v>5208.4604857470176</v>
      </c>
      <c r="C14" s="22">
        <f>IF(A14&lt;&gt;"",H13+B3*12,"")</f>
        <v>25099.08624591976</v>
      </c>
      <c r="D14" s="22">
        <f>IF(A14&lt;&gt;"",H13*B5/100,"")</f>
        <v>1591.2500608138193</v>
      </c>
      <c r="E14" s="22">
        <f>IF(A14&lt;&gt;"",B6,"")</f>
        <v>1000</v>
      </c>
      <c r="F14" s="22">
        <f t="shared" si="0"/>
        <v>591.25006081381935</v>
      </c>
      <c r="G14" s="22">
        <f>IF(A14&lt;&gt;"",F14*B7/100,"")</f>
        <v>155.94220353964485</v>
      </c>
      <c r="H14" s="22">
        <f>IF(A14&lt;&gt;"",H13+B3*12+D14-G14,"")</f>
        <v>26534.394103193932</v>
      </c>
    </row>
    <row r="15" spans="1:8" x14ac:dyDescent="0.35">
      <c r="A15" s="22">
        <f>IF(5&lt;=B4,5,"")</f>
        <v>5</v>
      </c>
      <c r="B15" s="22">
        <f>IF(A15&lt;&gt;"",B3*12,"")</f>
        <v>5208.4604857470176</v>
      </c>
      <c r="C15" s="22">
        <f>IF(A15&lt;&gt;"",H14+B3*12,"")</f>
        <v>31742.854588940951</v>
      </c>
      <c r="D15" s="22">
        <f>IF(A15&lt;&gt;"",H14*B5/100,"")</f>
        <v>2122.7515282555146</v>
      </c>
      <c r="E15" s="22">
        <f>IF(A15&lt;&gt;"",B6,"")</f>
        <v>1000</v>
      </c>
      <c r="F15" s="22">
        <f t="shared" si="0"/>
        <v>1122.7515282555146</v>
      </c>
      <c r="G15" s="22">
        <f>IF(A15&lt;&gt;"",F15*B7/100,"")</f>
        <v>296.12571557739199</v>
      </c>
      <c r="H15" s="22">
        <f>IF(A15&lt;&gt;"",H14+B3*12+D15-G15,"")</f>
        <v>33569.480401619076</v>
      </c>
    </row>
    <row r="16" spans="1:8" x14ac:dyDescent="0.35">
      <c r="A16" s="22" t="str">
        <f>IF(6&lt;=B4,6,"")</f>
        <v/>
      </c>
      <c r="B16" s="22" t="str">
        <f>IF(A16&lt;&gt;"",B3*12,"")</f>
        <v/>
      </c>
      <c r="C16" s="22" t="str">
        <f>IF(A16&lt;&gt;"",H15+B3*12,"")</f>
        <v/>
      </c>
      <c r="D16" s="22" t="str">
        <f>IF(A16&lt;&gt;"",H15*B5/100,"")</f>
        <v/>
      </c>
      <c r="E16" s="22" t="str">
        <f>IF(A16&lt;&gt;"",B6,"")</f>
        <v/>
      </c>
      <c r="F16" s="22" t="str">
        <f t="shared" si="0"/>
        <v/>
      </c>
      <c r="G16" s="22" t="str">
        <f>IF(A16&lt;&gt;"",F16*B7/100,"")</f>
        <v/>
      </c>
      <c r="H16" s="22" t="str">
        <f>IF(A16&lt;&gt;"",H15+B3*12+D16-G16,"")</f>
        <v/>
      </c>
    </row>
    <row r="17" spans="1:8" x14ac:dyDescent="0.35">
      <c r="A17" s="22" t="str">
        <f>IF(7&lt;=B4,7,"")</f>
        <v/>
      </c>
      <c r="B17" s="22" t="str">
        <f>IF(A17&lt;&gt;"",B3*12,"")</f>
        <v/>
      </c>
      <c r="C17" s="22" t="str">
        <f>IF(A17&lt;&gt;"",H16+B3*12,"")</f>
        <v/>
      </c>
      <c r="D17" s="22" t="str">
        <f>IF(A17&lt;&gt;"",H16*B5/100,"")</f>
        <v/>
      </c>
      <c r="E17" s="22" t="str">
        <f>IF(A17&lt;&gt;"",B6,"")</f>
        <v/>
      </c>
      <c r="F17" s="22" t="str">
        <f t="shared" si="0"/>
        <v/>
      </c>
      <c r="G17" s="22" t="str">
        <f>IF(A17&lt;&gt;"",F17*B7/100,"")</f>
        <v/>
      </c>
      <c r="H17" s="22" t="str">
        <f>IF(A17&lt;&gt;"",H16+B3*12+D17-G17,"")</f>
        <v/>
      </c>
    </row>
    <row r="18" spans="1:8" x14ac:dyDescent="0.35">
      <c r="A18" s="22" t="str">
        <f>IF(8&lt;=B4,8,"")</f>
        <v/>
      </c>
      <c r="B18" s="22" t="str">
        <f>IF(A18&lt;&gt;"",B3*12,"")</f>
        <v/>
      </c>
      <c r="C18" s="22" t="str">
        <f>IF(A18&lt;&gt;"",H17+B3*12,"")</f>
        <v/>
      </c>
      <c r="D18" s="22" t="str">
        <f>IF(A18&lt;&gt;"",H17*B5/100,"")</f>
        <v/>
      </c>
      <c r="E18" s="22" t="str">
        <f>IF(A18&lt;&gt;"",B6,"")</f>
        <v/>
      </c>
      <c r="F18" s="22" t="str">
        <f t="shared" si="0"/>
        <v/>
      </c>
      <c r="G18" s="22" t="str">
        <f>IF(A18&lt;&gt;"",F18*B7/100,"")</f>
        <v/>
      </c>
      <c r="H18" s="22" t="str">
        <f>IF(A18&lt;&gt;"",H17+B3*12+D18-G18,"")</f>
        <v/>
      </c>
    </row>
    <row r="19" spans="1:8" x14ac:dyDescent="0.35">
      <c r="A19" s="22" t="str">
        <f>IF(9&lt;=B4,9,"")</f>
        <v/>
      </c>
      <c r="B19" s="22" t="str">
        <f>IF(A19&lt;&gt;"",B3*12,"")</f>
        <v/>
      </c>
      <c r="C19" s="22" t="str">
        <f>IF(A19&lt;&gt;"",H18+B3*12,"")</f>
        <v/>
      </c>
      <c r="D19" s="22" t="str">
        <f>IF(A19&lt;&gt;"",H18*B5/100,"")</f>
        <v/>
      </c>
      <c r="E19" s="22" t="str">
        <f>IF(A19&lt;&gt;"",B6,"")</f>
        <v/>
      </c>
      <c r="F19" s="22" t="str">
        <f t="shared" si="0"/>
        <v/>
      </c>
      <c r="G19" s="22" t="str">
        <f>IF(A19&lt;&gt;"",F19*B7/100,"")</f>
        <v/>
      </c>
      <c r="H19" s="22" t="str">
        <f>IF(A19&lt;&gt;"",H18+B3*12+D19-G19,"")</f>
        <v/>
      </c>
    </row>
    <row r="20" spans="1:8" x14ac:dyDescent="0.35">
      <c r="A20" s="22" t="str">
        <f>IF(10&lt;=B4,10,"")</f>
        <v/>
      </c>
      <c r="B20" s="22" t="str">
        <f>IF(A20&lt;&gt;"",B3*12,"")</f>
        <v/>
      </c>
      <c r="C20" s="22" t="str">
        <f>IF(A20&lt;&gt;"",H19+B3*12,"")</f>
        <v/>
      </c>
      <c r="D20" s="22" t="str">
        <f>IF(A20&lt;&gt;"",H19*B5/100,"")</f>
        <v/>
      </c>
      <c r="E20" s="22" t="str">
        <f>IF(A20&lt;&gt;"",B6,"")</f>
        <v/>
      </c>
      <c r="F20" s="22" t="str">
        <f t="shared" si="0"/>
        <v/>
      </c>
      <c r="G20" s="22" t="str">
        <f>IF(A20&lt;&gt;"",F20*B7/100,"")</f>
        <v/>
      </c>
      <c r="H20" s="22" t="str">
        <f>IF(A20&lt;&gt;"",H19+B3*12+D20-G20,"")</f>
        <v/>
      </c>
    </row>
    <row r="21" spans="1:8" x14ac:dyDescent="0.35">
      <c r="A21" s="22" t="str">
        <f>IF(11&lt;=B4,11,"")</f>
        <v/>
      </c>
      <c r="B21" s="22" t="str">
        <f>IF(A21&lt;&gt;"",B3*12,"")</f>
        <v/>
      </c>
      <c r="C21" s="22" t="str">
        <f>IF(A21&lt;&gt;"",H20+B3*12,"")</f>
        <v/>
      </c>
      <c r="D21" s="22" t="str">
        <f>IF(A21&lt;&gt;"",H20*B5/100,"")</f>
        <v/>
      </c>
      <c r="E21" s="22" t="str">
        <f>IF(A21&lt;&gt;"",B6,"")</f>
        <v/>
      </c>
      <c r="F21" s="22" t="str">
        <f t="shared" si="0"/>
        <v/>
      </c>
      <c r="G21" s="22" t="str">
        <f>IF(A21&lt;&gt;"",F21*B7/100,"")</f>
        <v/>
      </c>
      <c r="H21" s="22" t="str">
        <f>IF(A21&lt;&gt;"",H20+B3*12+D21-G21,"")</f>
        <v/>
      </c>
    </row>
    <row r="22" spans="1:8" x14ac:dyDescent="0.35">
      <c r="A22" s="22" t="str">
        <f>IF(12&lt;=B4,12,"")</f>
        <v/>
      </c>
      <c r="B22" s="22" t="str">
        <f>IF(A22&lt;&gt;"",B3*12,"")</f>
        <v/>
      </c>
      <c r="C22" s="22" t="str">
        <f>IF(A22&lt;&gt;"",H21+B3*12,"")</f>
        <v/>
      </c>
      <c r="D22" s="22" t="str">
        <f>IF(A22&lt;&gt;"",H21*B5/100,"")</f>
        <v/>
      </c>
      <c r="E22" s="22" t="str">
        <f>IF(A22&lt;&gt;"",B6,"")</f>
        <v/>
      </c>
      <c r="F22" s="22" t="str">
        <f t="shared" si="0"/>
        <v/>
      </c>
      <c r="G22" s="22" t="str">
        <f>IF(A22&lt;&gt;"",F22*B7/100,"")</f>
        <v/>
      </c>
      <c r="H22" s="22" t="str">
        <f>IF(A22&lt;&gt;"",H21+B3*12+D22-G22,"")</f>
        <v/>
      </c>
    </row>
    <row r="23" spans="1:8" x14ac:dyDescent="0.35">
      <c r="A23" s="22" t="str">
        <f>IF(13&lt;=B4,13,"")</f>
        <v/>
      </c>
      <c r="B23" s="22" t="str">
        <f>IF(A23&lt;&gt;"",B3*12,"")</f>
        <v/>
      </c>
      <c r="C23" s="22" t="str">
        <f>IF(A23&lt;&gt;"",H22+B3*12,"")</f>
        <v/>
      </c>
      <c r="D23" s="22" t="str">
        <f>IF(A23&lt;&gt;"",H22*B5/100,"")</f>
        <v/>
      </c>
      <c r="E23" s="22" t="str">
        <f>IF(A23&lt;&gt;"",B6,"")</f>
        <v/>
      </c>
      <c r="F23" s="22" t="str">
        <f t="shared" si="0"/>
        <v/>
      </c>
      <c r="G23" s="22" t="str">
        <f>IF(A23&lt;&gt;"",F23*B7/100,"")</f>
        <v/>
      </c>
      <c r="H23" s="22" t="str">
        <f>IF(A23&lt;&gt;"",H22+B3*12+D23-G23,"")</f>
        <v/>
      </c>
    </row>
    <row r="24" spans="1:8" x14ac:dyDescent="0.35">
      <c r="A24" s="22" t="str">
        <f>IF(14&lt;=B4,14,"")</f>
        <v/>
      </c>
      <c r="B24" s="22" t="str">
        <f>IF(A24&lt;&gt;"",B3*12,"")</f>
        <v/>
      </c>
      <c r="C24" s="22" t="str">
        <f>IF(A24&lt;&gt;"",H23+B3*12,"")</f>
        <v/>
      </c>
      <c r="D24" s="22" t="str">
        <f>IF(A24&lt;&gt;"",H23*B5/100,"")</f>
        <v/>
      </c>
      <c r="E24" s="22" t="str">
        <f>IF(A24&lt;&gt;"",B6,"")</f>
        <v/>
      </c>
      <c r="F24" s="22" t="str">
        <f t="shared" si="0"/>
        <v/>
      </c>
      <c r="G24" s="22" t="str">
        <f>IF(A24&lt;&gt;"",F24*B7/100,"")</f>
        <v/>
      </c>
      <c r="H24" s="22" t="str">
        <f>IF(A24&lt;&gt;"",H23+B3*12+D24-G24,"")</f>
        <v/>
      </c>
    </row>
    <row r="25" spans="1:8" x14ac:dyDescent="0.35">
      <c r="A25" s="22" t="str">
        <f>IF(15&lt;=B4,15,"")</f>
        <v/>
      </c>
      <c r="B25" s="22" t="str">
        <f>IF(A25&lt;&gt;"",B3*12,"")</f>
        <v/>
      </c>
      <c r="C25" s="22" t="str">
        <f>IF(A25&lt;&gt;"",H24+B3*12,"")</f>
        <v/>
      </c>
      <c r="D25" s="22" t="str">
        <f>IF(A25&lt;&gt;"",H24*B5/100,"")</f>
        <v/>
      </c>
      <c r="E25" s="22" t="str">
        <f>IF(A25&lt;&gt;"",B6,"")</f>
        <v/>
      </c>
      <c r="F25" s="22" t="str">
        <f t="shared" si="0"/>
        <v/>
      </c>
      <c r="G25" s="22" t="str">
        <f>IF(A25&lt;&gt;"",F25*B7/100,"")</f>
        <v/>
      </c>
      <c r="H25" s="22" t="str">
        <f>IF(A25&lt;&gt;"",H24+B3*12+D25-G25,"")</f>
        <v/>
      </c>
    </row>
    <row r="26" spans="1:8" x14ac:dyDescent="0.35">
      <c r="A26" s="22" t="str">
        <f>IF(16&lt;=B4,16,"")</f>
        <v/>
      </c>
      <c r="B26" s="22" t="str">
        <f>IF(A26&lt;&gt;"",B3*12,"")</f>
        <v/>
      </c>
      <c r="C26" s="22" t="str">
        <f>IF(A26&lt;&gt;"",H25+B3*12,"")</f>
        <v/>
      </c>
      <c r="D26" s="22" t="str">
        <f>IF(A26&lt;&gt;"",H25*B5/100,"")</f>
        <v/>
      </c>
      <c r="E26" s="22" t="str">
        <f>IF(A26&lt;&gt;"",B6,"")</f>
        <v/>
      </c>
      <c r="F26" s="22" t="str">
        <f t="shared" si="0"/>
        <v/>
      </c>
      <c r="G26" s="22" t="str">
        <f>IF(A26&lt;&gt;"",F26*B7/100,"")</f>
        <v/>
      </c>
      <c r="H26" s="22" t="str">
        <f>IF(A26&lt;&gt;"",H25+B3*12+D26-G26,"")</f>
        <v/>
      </c>
    </row>
    <row r="27" spans="1:8" x14ac:dyDescent="0.35">
      <c r="A27" s="22" t="str">
        <f>IF(17&lt;=B4,17,"")</f>
        <v/>
      </c>
      <c r="B27" s="22" t="str">
        <f>IF(A27&lt;&gt;"",B3*12,"")</f>
        <v/>
      </c>
      <c r="C27" s="22" t="str">
        <f>IF(A27&lt;&gt;"",H26+B3*12,"")</f>
        <v/>
      </c>
      <c r="D27" s="22" t="str">
        <f>IF(A27&lt;&gt;"",H26*B5/100,"")</f>
        <v/>
      </c>
      <c r="E27" s="22" t="str">
        <f>IF(A27&lt;&gt;"",B6,"")</f>
        <v/>
      </c>
      <c r="F27" s="22" t="str">
        <f t="shared" si="0"/>
        <v/>
      </c>
      <c r="G27" s="22" t="str">
        <f>IF(A27&lt;&gt;"",F27*B7/100,"")</f>
        <v/>
      </c>
      <c r="H27" s="22" t="str">
        <f>IF(A27&lt;&gt;"",H26+B3*12+D27-G27,"")</f>
        <v/>
      </c>
    </row>
    <row r="28" spans="1:8" x14ac:dyDescent="0.35">
      <c r="A28" s="22" t="str">
        <f>IF(18&lt;=B4,18,"")</f>
        <v/>
      </c>
      <c r="B28" s="22" t="str">
        <f>IF(A28&lt;&gt;"",B3*12,"")</f>
        <v/>
      </c>
      <c r="C28" s="22" t="str">
        <f>IF(A28&lt;&gt;"",H27+B3*12,"")</f>
        <v/>
      </c>
      <c r="D28" s="22" t="str">
        <f>IF(A28&lt;&gt;"",H27*B5/100,"")</f>
        <v/>
      </c>
      <c r="E28" s="22" t="str">
        <f>IF(A28&lt;&gt;"",B6,"")</f>
        <v/>
      </c>
      <c r="F28" s="22" t="str">
        <f t="shared" si="0"/>
        <v/>
      </c>
      <c r="G28" s="22" t="str">
        <f>IF(A28&lt;&gt;"",F28*B7/100,"")</f>
        <v/>
      </c>
      <c r="H28" s="22" t="str">
        <f>IF(A28&lt;&gt;"",H27+B3*12+D28-G28,"")</f>
        <v/>
      </c>
    </row>
    <row r="29" spans="1:8" x14ac:dyDescent="0.35">
      <c r="A29" s="22" t="str">
        <f>IF(19&lt;=B4,19,"")</f>
        <v/>
      </c>
      <c r="B29" s="22" t="str">
        <f>IF(A29&lt;&gt;"",B3*12,"")</f>
        <v/>
      </c>
      <c r="C29" s="22" t="str">
        <f>IF(A29&lt;&gt;"",H28+B3*12,"")</f>
        <v/>
      </c>
      <c r="D29" s="22" t="str">
        <f>IF(A29&lt;&gt;"",H28*B5/100,"")</f>
        <v/>
      </c>
      <c r="E29" s="22" t="str">
        <f>IF(A29&lt;&gt;"",B6,"")</f>
        <v/>
      </c>
      <c r="F29" s="22" t="str">
        <f t="shared" si="0"/>
        <v/>
      </c>
      <c r="G29" s="22" t="str">
        <f>IF(A29&lt;&gt;"",F29*B7/100,"")</f>
        <v/>
      </c>
      <c r="H29" s="22" t="str">
        <f>IF(A29&lt;&gt;"",H28+B3*12+D29-G29,"")</f>
        <v/>
      </c>
    </row>
    <row r="30" spans="1:8" x14ac:dyDescent="0.35">
      <c r="A30" s="22" t="str">
        <f>IF(20&lt;=B4,20,"")</f>
        <v/>
      </c>
      <c r="B30" s="22" t="str">
        <f>IF(A30&lt;&gt;"",B3*12,"")</f>
        <v/>
      </c>
      <c r="C30" s="22" t="str">
        <f>IF(A30&lt;&gt;"",H29+B3*12,"")</f>
        <v/>
      </c>
      <c r="D30" s="22" t="str">
        <f>IF(A30&lt;&gt;"",H29*B5/100,"")</f>
        <v/>
      </c>
      <c r="E30" s="22" t="str">
        <f>IF(A30&lt;&gt;"",B6,"")</f>
        <v/>
      </c>
      <c r="F30" s="22" t="str">
        <f t="shared" si="0"/>
        <v/>
      </c>
      <c r="G30" s="22" t="str">
        <f>IF(A30&lt;&gt;"",F30*B7/100,"")</f>
        <v/>
      </c>
      <c r="H30" s="22" t="str">
        <f>IF(A30&lt;&gt;"",H29+B3*12+D30-G30,"")</f>
        <v/>
      </c>
    </row>
    <row r="31" spans="1:8" x14ac:dyDescent="0.35">
      <c r="A31" s="22" t="str">
        <f>IF(21&lt;=B4,21,"")</f>
        <v/>
      </c>
      <c r="B31" s="22" t="str">
        <f>IF(A31&lt;&gt;"",B3*12,"")</f>
        <v/>
      </c>
      <c r="C31" s="22" t="str">
        <f>IF(A31&lt;&gt;"",H30+B3*12,"")</f>
        <v/>
      </c>
      <c r="D31" s="22" t="str">
        <f>IF(A31&lt;&gt;"",H30*B5/100,"")</f>
        <v/>
      </c>
      <c r="E31" s="22" t="str">
        <f>IF(A31&lt;&gt;"",B6,"")</f>
        <v/>
      </c>
      <c r="F31" s="22" t="str">
        <f t="shared" si="0"/>
        <v/>
      </c>
      <c r="G31" s="22" t="str">
        <f>IF(A31&lt;&gt;"",F31*B7/100,"")</f>
        <v/>
      </c>
      <c r="H31" s="22" t="str">
        <f>IF(A31&lt;&gt;"",H30+B3*12+D31-G31,"")</f>
        <v/>
      </c>
    </row>
    <row r="32" spans="1:8" x14ac:dyDescent="0.35">
      <c r="A32" s="22" t="str">
        <f>IF(22&lt;=B4,22,"")</f>
        <v/>
      </c>
      <c r="B32" s="22" t="str">
        <f>IF(A32&lt;&gt;"",B3*12,"")</f>
        <v/>
      </c>
      <c r="C32" s="22" t="str">
        <f>IF(A32&lt;&gt;"",H31+B3*12,"")</f>
        <v/>
      </c>
      <c r="D32" s="22" t="str">
        <f>IF(A32&lt;&gt;"",H31*B5/100,"")</f>
        <v/>
      </c>
      <c r="E32" s="22" t="str">
        <f>IF(A32&lt;&gt;"",B6,"")</f>
        <v/>
      </c>
      <c r="F32" s="22" t="str">
        <f t="shared" si="0"/>
        <v/>
      </c>
      <c r="G32" s="22" t="str">
        <f>IF(A32&lt;&gt;"",F32*B7/100,"")</f>
        <v/>
      </c>
      <c r="H32" s="22" t="str">
        <f>IF(A32&lt;&gt;"",H31+B3*12+D32-G32,"")</f>
        <v/>
      </c>
    </row>
    <row r="33" spans="1:8" x14ac:dyDescent="0.35">
      <c r="A33" s="22" t="str">
        <f>IF(23&lt;=B4,23,"")</f>
        <v/>
      </c>
      <c r="B33" s="22" t="str">
        <f>IF(A33&lt;&gt;"",B3*12,"")</f>
        <v/>
      </c>
      <c r="C33" s="22" t="str">
        <f>IF(A33&lt;&gt;"",H32+B3*12,"")</f>
        <v/>
      </c>
      <c r="D33" s="22" t="str">
        <f>IF(A33&lt;&gt;"",H32*B5/100,"")</f>
        <v/>
      </c>
      <c r="E33" s="22" t="str">
        <f>IF(A33&lt;&gt;"",B6,"")</f>
        <v/>
      </c>
      <c r="F33" s="22" t="str">
        <f t="shared" si="0"/>
        <v/>
      </c>
      <c r="G33" s="22" t="str">
        <f>IF(A33&lt;&gt;"",F33*B7/100,"")</f>
        <v/>
      </c>
      <c r="H33" s="22" t="str">
        <f>IF(A33&lt;&gt;"",H32+B3*12+D33-G33,"")</f>
        <v/>
      </c>
    </row>
    <row r="34" spans="1:8" x14ac:dyDescent="0.35">
      <c r="A34" s="22" t="str">
        <f>IF(24&lt;=B4,24,"")</f>
        <v/>
      </c>
      <c r="B34" s="22" t="str">
        <f>IF(A34&lt;&gt;"",B3*12,"")</f>
        <v/>
      </c>
      <c r="C34" s="22" t="str">
        <f>IF(A34&lt;&gt;"",H33+B3*12,"")</f>
        <v/>
      </c>
      <c r="D34" s="22" t="str">
        <f>IF(A34&lt;&gt;"",H33*B5/100,"")</f>
        <v/>
      </c>
      <c r="E34" s="22" t="str">
        <f>IF(A34&lt;&gt;"",B6,"")</f>
        <v/>
      </c>
      <c r="F34" s="22" t="str">
        <f t="shared" si="0"/>
        <v/>
      </c>
      <c r="G34" s="22" t="str">
        <f>IF(A34&lt;&gt;"",F34*B7/100,"")</f>
        <v/>
      </c>
      <c r="H34" s="22" t="str">
        <f>IF(A34&lt;&gt;"",H33+B3*12+D34-G34,"")</f>
        <v/>
      </c>
    </row>
    <row r="35" spans="1:8" x14ac:dyDescent="0.35">
      <c r="A35" s="22" t="str">
        <f>IF(25&lt;=B4,25,"")</f>
        <v/>
      </c>
      <c r="B35" s="22" t="str">
        <f>IF(A35&lt;&gt;"",B3*12,"")</f>
        <v/>
      </c>
      <c r="C35" s="22" t="str">
        <f>IF(A35&lt;&gt;"",H34+B3*12,"")</f>
        <v/>
      </c>
      <c r="D35" s="22" t="str">
        <f>IF(A35&lt;&gt;"",H34*B5/100,"")</f>
        <v/>
      </c>
      <c r="E35" s="22" t="str">
        <f>IF(A35&lt;&gt;"",B6,"")</f>
        <v/>
      </c>
      <c r="F35" s="22" t="str">
        <f t="shared" si="0"/>
        <v/>
      </c>
      <c r="G35" s="22" t="str">
        <f>IF(A35&lt;&gt;"",F35*B7/100,"")</f>
        <v/>
      </c>
      <c r="H35" s="22" t="str">
        <f>IF(A35&lt;&gt;"",H34+B3*12+D35-G35,"")</f>
        <v/>
      </c>
    </row>
    <row r="36" spans="1:8" x14ac:dyDescent="0.35">
      <c r="A36" s="22" t="str">
        <f>IF(26&lt;=B4,26,"")</f>
        <v/>
      </c>
      <c r="B36" s="22" t="str">
        <f>IF(A36&lt;&gt;"",B3*12,"")</f>
        <v/>
      </c>
      <c r="C36" s="22" t="str">
        <f>IF(A36&lt;&gt;"",H35+B3*12,"")</f>
        <v/>
      </c>
      <c r="D36" s="22" t="str">
        <f>IF(A36&lt;&gt;"",H35*B5/100,"")</f>
        <v/>
      </c>
      <c r="E36" s="22" t="str">
        <f>IF(A36&lt;&gt;"",B6,"")</f>
        <v/>
      </c>
      <c r="F36" s="22" t="str">
        <f t="shared" si="0"/>
        <v/>
      </c>
      <c r="G36" s="22" t="str">
        <f>IF(A36&lt;&gt;"",F36*B7/100,"")</f>
        <v/>
      </c>
      <c r="H36" s="22" t="str">
        <f>IF(A36&lt;&gt;"",H35+B3*12+D36-G36,"")</f>
        <v/>
      </c>
    </row>
    <row r="37" spans="1:8" x14ac:dyDescent="0.35">
      <c r="A37" s="22" t="str">
        <f>IF(27&lt;=B4,27,"")</f>
        <v/>
      </c>
      <c r="B37" s="22" t="str">
        <f>IF(A37&lt;&gt;"",B3*12,"")</f>
        <v/>
      </c>
      <c r="C37" s="22" t="str">
        <f>IF(A37&lt;&gt;"",H36+B3*12,"")</f>
        <v/>
      </c>
      <c r="D37" s="22" t="str">
        <f>IF(A37&lt;&gt;"",H36*B5/100,"")</f>
        <v/>
      </c>
      <c r="E37" s="22" t="str">
        <f>IF(A37&lt;&gt;"",B6,"")</f>
        <v/>
      </c>
      <c r="F37" s="22" t="str">
        <f t="shared" si="0"/>
        <v/>
      </c>
      <c r="G37" s="22" t="str">
        <f>IF(A37&lt;&gt;"",F37*B7/100,"")</f>
        <v/>
      </c>
      <c r="H37" s="22" t="str">
        <f>IF(A37&lt;&gt;"",H36+B3*12+D37-G37,"")</f>
        <v/>
      </c>
    </row>
    <row r="38" spans="1:8" x14ac:dyDescent="0.35">
      <c r="A38" s="22" t="str">
        <f>IF(28&lt;=B4,28,"")</f>
        <v/>
      </c>
      <c r="B38" s="22" t="str">
        <f>IF(A38&lt;&gt;"",B3*12,"")</f>
        <v/>
      </c>
      <c r="C38" s="22" t="str">
        <f>IF(A38&lt;&gt;"",H37+B3*12,"")</f>
        <v/>
      </c>
      <c r="D38" s="22" t="str">
        <f>IF(A38&lt;&gt;"",H37*B5/100,"")</f>
        <v/>
      </c>
      <c r="E38" s="22" t="str">
        <f>IF(A38&lt;&gt;"",B6,"")</f>
        <v/>
      </c>
      <c r="F38" s="22" t="str">
        <f t="shared" si="0"/>
        <v/>
      </c>
      <c r="G38" s="22" t="str">
        <f>IF(A38&lt;&gt;"",F38*B7/100,"")</f>
        <v/>
      </c>
      <c r="H38" s="22" t="str">
        <f>IF(A38&lt;&gt;"",H37+B3*12+D38-G38,"")</f>
        <v/>
      </c>
    </row>
    <row r="39" spans="1:8" x14ac:dyDescent="0.35">
      <c r="A39" s="22" t="str">
        <f>IF(29&lt;=B4,29,"")</f>
        <v/>
      </c>
      <c r="B39" s="22" t="str">
        <f>IF(A39&lt;&gt;"",B3*12,"")</f>
        <v/>
      </c>
      <c r="C39" s="22" t="str">
        <f>IF(A39&lt;&gt;"",H38+B3*12,"")</f>
        <v/>
      </c>
      <c r="D39" s="22" t="str">
        <f>IF(A39&lt;&gt;"",H38*B5/100,"")</f>
        <v/>
      </c>
      <c r="E39" s="22" t="str">
        <f>IF(A39&lt;&gt;"",B6,"")</f>
        <v/>
      </c>
      <c r="F39" s="22" t="str">
        <f t="shared" si="0"/>
        <v/>
      </c>
      <c r="G39" s="22" t="str">
        <f>IF(A39&lt;&gt;"",F39*B7/100,"")</f>
        <v/>
      </c>
      <c r="H39" s="22" t="str">
        <f>IF(A39&lt;&gt;"",H38+B3*12+D39-G39,"")</f>
        <v/>
      </c>
    </row>
    <row r="40" spans="1:8" x14ac:dyDescent="0.35">
      <c r="A40" s="22" t="str">
        <f>IF(30&lt;=B4,30,"")</f>
        <v/>
      </c>
      <c r="B40" s="22" t="str">
        <f>IF(A40&lt;&gt;"",B3*12,"")</f>
        <v/>
      </c>
      <c r="C40" s="22" t="str">
        <f>IF(A40&lt;&gt;"",H39+B3*12,"")</f>
        <v/>
      </c>
      <c r="D40" s="22" t="str">
        <f>IF(A40&lt;&gt;"",H39*B5/100,"")</f>
        <v/>
      </c>
      <c r="E40" s="22" t="str">
        <f>IF(A40&lt;&gt;"",B6,"")</f>
        <v/>
      </c>
      <c r="F40" s="22" t="str">
        <f t="shared" si="0"/>
        <v/>
      </c>
      <c r="G40" s="22" t="str">
        <f>IF(A40&lt;&gt;"",F40*B7/100,"")</f>
        <v/>
      </c>
      <c r="H40" s="22" t="str">
        <f>IF(A40&lt;&gt;"",H39+B3*12+D40-G40,"")</f>
        <v/>
      </c>
    </row>
    <row r="41" spans="1:8" x14ac:dyDescent="0.35">
      <c r="A41" s="22" t="str">
        <f>IF(31&lt;=B4,31,"")</f>
        <v/>
      </c>
      <c r="B41" s="22" t="str">
        <f>IF(A41&lt;&gt;"",B3*12,"")</f>
        <v/>
      </c>
      <c r="C41" s="22" t="str">
        <f>IF(A41&lt;&gt;"",H40+B3*12,"")</f>
        <v/>
      </c>
      <c r="D41" s="22" t="str">
        <f>IF(A41&lt;&gt;"",H40*B5/100,"")</f>
        <v/>
      </c>
      <c r="E41" s="22" t="str">
        <f>IF(A41&lt;&gt;"",B6,"")</f>
        <v/>
      </c>
      <c r="F41" s="22" t="str">
        <f t="shared" si="0"/>
        <v/>
      </c>
      <c r="G41" s="22" t="str">
        <f>IF(A41&lt;&gt;"",F41*B7/100,"")</f>
        <v/>
      </c>
      <c r="H41" s="22" t="str">
        <f>IF(A41&lt;&gt;"",H40+B3*12+D41-G41,"")</f>
        <v/>
      </c>
    </row>
    <row r="42" spans="1:8" x14ac:dyDescent="0.35">
      <c r="A42" s="22" t="str">
        <f>IF(32&lt;=B4,32,"")</f>
        <v/>
      </c>
      <c r="B42" s="22" t="str">
        <f>IF(A42&lt;&gt;"",B3*12,"")</f>
        <v/>
      </c>
      <c r="C42" s="22" t="str">
        <f>IF(A42&lt;&gt;"",H41+B3*12,"")</f>
        <v/>
      </c>
      <c r="D42" s="22" t="str">
        <f>IF(A42&lt;&gt;"",H41*B5/100,"")</f>
        <v/>
      </c>
      <c r="E42" s="22" t="str">
        <f>IF(A42&lt;&gt;"",B6,"")</f>
        <v/>
      </c>
      <c r="F42" s="22" t="str">
        <f t="shared" si="0"/>
        <v/>
      </c>
      <c r="G42" s="22" t="str">
        <f>IF(A42&lt;&gt;"",F42*B7/100,"")</f>
        <v/>
      </c>
      <c r="H42" s="22" t="str">
        <f>IF(A42&lt;&gt;"",H41+B3*12+D42-G42,"")</f>
        <v/>
      </c>
    </row>
    <row r="43" spans="1:8" x14ac:dyDescent="0.35">
      <c r="A43" s="22" t="str">
        <f>IF(33&lt;=B4,33,"")</f>
        <v/>
      </c>
      <c r="B43" s="22" t="str">
        <f>IF(A43&lt;&gt;"",B3*12,"")</f>
        <v/>
      </c>
      <c r="C43" s="22" t="str">
        <f>IF(A43&lt;&gt;"",H42+B3*12,"")</f>
        <v/>
      </c>
      <c r="D43" s="22" t="str">
        <f>IF(A43&lt;&gt;"",H42*B5/100,"")</f>
        <v/>
      </c>
      <c r="E43" s="22" t="str">
        <f>IF(A43&lt;&gt;"",B6,"")</f>
        <v/>
      </c>
      <c r="F43" s="22" t="str">
        <f t="shared" si="0"/>
        <v/>
      </c>
      <c r="G43" s="22" t="str">
        <f>IF(A43&lt;&gt;"",F43*B7/100,"")</f>
        <v/>
      </c>
      <c r="H43" s="22" t="str">
        <f>IF(A43&lt;&gt;"",H42+B3*12+D43-G43,"")</f>
        <v/>
      </c>
    </row>
    <row r="44" spans="1:8" x14ac:dyDescent="0.35">
      <c r="A44" s="22" t="str">
        <f>IF(34&lt;=B4,34,"")</f>
        <v/>
      </c>
      <c r="B44" s="22" t="str">
        <f>IF(A44&lt;&gt;"",B3*12,"")</f>
        <v/>
      </c>
      <c r="C44" s="22" t="str">
        <f>IF(A44&lt;&gt;"",H43+B3*12,"")</f>
        <v/>
      </c>
      <c r="D44" s="22" t="str">
        <f>IF(A44&lt;&gt;"",H43*B5/100,"")</f>
        <v/>
      </c>
      <c r="E44" s="22" t="str">
        <f>IF(A44&lt;&gt;"",B6,"")</f>
        <v/>
      </c>
      <c r="F44" s="22" t="str">
        <f t="shared" si="0"/>
        <v/>
      </c>
      <c r="G44" s="22" t="str">
        <f>IF(A44&lt;&gt;"",F44*B7/100,"")</f>
        <v/>
      </c>
      <c r="H44" s="22" t="str">
        <f>IF(A44&lt;&gt;"",H43+B3*12+D44-G44,"")</f>
        <v/>
      </c>
    </row>
    <row r="45" spans="1:8" x14ac:dyDescent="0.35">
      <c r="A45" s="22" t="str">
        <f>IF(35&lt;=B4,35,"")</f>
        <v/>
      </c>
      <c r="B45" s="22" t="str">
        <f>IF(A45&lt;&gt;"",B3*12,"")</f>
        <v/>
      </c>
      <c r="C45" s="22" t="str">
        <f>IF(A45&lt;&gt;"",H44+B3*12,"")</f>
        <v/>
      </c>
      <c r="D45" s="22" t="str">
        <f>IF(A45&lt;&gt;"",H44*B5/100,"")</f>
        <v/>
      </c>
      <c r="E45" s="22" t="str">
        <f>IF(A45&lt;&gt;"",B6,"")</f>
        <v/>
      </c>
      <c r="F45" s="22" t="str">
        <f t="shared" si="0"/>
        <v/>
      </c>
      <c r="G45" s="22" t="str">
        <f>IF(A45&lt;&gt;"",F45*B7/100,"")</f>
        <v/>
      </c>
      <c r="H45" s="22" t="str">
        <f>IF(A45&lt;&gt;"",H44+B3*12+D45-G45,"")</f>
        <v/>
      </c>
    </row>
    <row r="46" spans="1:8" x14ac:dyDescent="0.35">
      <c r="A46" s="22" t="str">
        <f>IF(36&lt;=B4,36,"")</f>
        <v/>
      </c>
      <c r="B46" s="22" t="str">
        <f>IF(A46&lt;&gt;"",B3*12,"")</f>
        <v/>
      </c>
      <c r="C46" s="22" t="str">
        <f>IF(A46&lt;&gt;"",H45+B3*12,"")</f>
        <v/>
      </c>
      <c r="D46" s="22" t="str">
        <f>IF(A46&lt;&gt;"",H45*B5/100,"")</f>
        <v/>
      </c>
      <c r="E46" s="22" t="str">
        <f>IF(A46&lt;&gt;"",B6,"")</f>
        <v/>
      </c>
      <c r="F46" s="22" t="str">
        <f t="shared" si="0"/>
        <v/>
      </c>
      <c r="G46" s="22" t="str">
        <f>IF(A46&lt;&gt;"",F46*B7/100,"")</f>
        <v/>
      </c>
      <c r="H46" s="22" t="str">
        <f>IF(A46&lt;&gt;"",H45+B3*12+D46-G46,"")</f>
        <v/>
      </c>
    </row>
    <row r="47" spans="1:8" x14ac:dyDescent="0.35">
      <c r="A47" s="22" t="str">
        <f>IF(37&lt;=B4,37,"")</f>
        <v/>
      </c>
      <c r="B47" s="22" t="str">
        <f>IF(A47&lt;&gt;"",B3*12,"")</f>
        <v/>
      </c>
      <c r="C47" s="22" t="str">
        <f>IF(A47&lt;&gt;"",H46+B3*12,"")</f>
        <v/>
      </c>
      <c r="D47" s="22" t="str">
        <f>IF(A47&lt;&gt;"",H46*B5/100,"")</f>
        <v/>
      </c>
      <c r="E47" s="22" t="str">
        <f>IF(A47&lt;&gt;"",B6,"")</f>
        <v/>
      </c>
      <c r="F47" s="22" t="str">
        <f t="shared" si="0"/>
        <v/>
      </c>
      <c r="G47" s="22" t="str">
        <f>IF(A47&lt;&gt;"",F47*B7/100,"")</f>
        <v/>
      </c>
      <c r="H47" s="22" t="str">
        <f>IF(A47&lt;&gt;"",H46+B3*12+D47-G47,"")</f>
        <v/>
      </c>
    </row>
    <row r="48" spans="1:8" x14ac:dyDescent="0.35">
      <c r="A48" s="22" t="str">
        <f>IF(38&lt;=B4,38,"")</f>
        <v/>
      </c>
      <c r="B48" s="22" t="str">
        <f>IF(A48&lt;&gt;"",B3*12,"")</f>
        <v/>
      </c>
      <c r="C48" s="22" t="str">
        <f>IF(A48&lt;&gt;"",H47+B3*12,"")</f>
        <v/>
      </c>
      <c r="D48" s="22" t="str">
        <f>IF(A48&lt;&gt;"",H47*B5/100,"")</f>
        <v/>
      </c>
      <c r="E48" s="22" t="str">
        <f>IF(A48&lt;&gt;"",B6,"")</f>
        <v/>
      </c>
      <c r="F48" s="22" t="str">
        <f t="shared" si="0"/>
        <v/>
      </c>
      <c r="G48" s="22" t="str">
        <f>IF(A48&lt;&gt;"",F48*B7/100,"")</f>
        <v/>
      </c>
      <c r="H48" s="22" t="str">
        <f>IF(A48&lt;&gt;"",H47+B3*12+D48-G48,"")</f>
        <v/>
      </c>
    </row>
    <row r="49" spans="1:8" x14ac:dyDescent="0.35">
      <c r="A49" s="22" t="str">
        <f>IF(39&lt;=B4,39,"")</f>
        <v/>
      </c>
      <c r="B49" s="22" t="str">
        <f>IF(A49&lt;&gt;"",B3*12,"")</f>
        <v/>
      </c>
      <c r="C49" s="22" t="str">
        <f>IF(A49&lt;&gt;"",H48+B3*12,"")</f>
        <v/>
      </c>
      <c r="D49" s="22" t="str">
        <f>IF(A49&lt;&gt;"",H48*B5/100,"")</f>
        <v/>
      </c>
      <c r="E49" s="22" t="str">
        <f>IF(A49&lt;&gt;"",B6,"")</f>
        <v/>
      </c>
      <c r="F49" s="22" t="str">
        <f t="shared" si="0"/>
        <v/>
      </c>
      <c r="G49" s="22" t="str">
        <f>IF(A49&lt;&gt;"",F49*B7/100,"")</f>
        <v/>
      </c>
      <c r="H49" s="22" t="str">
        <f>IF(A49&lt;&gt;"",H48+B3*12+D49-G49,"")</f>
        <v/>
      </c>
    </row>
    <row r="50" spans="1:8" x14ac:dyDescent="0.35">
      <c r="A50" s="22" t="str">
        <f>IF(40&lt;=B4,40,"")</f>
        <v/>
      </c>
      <c r="B50" s="22" t="str">
        <f>IF(A50&lt;&gt;"",B3*12,"")</f>
        <v/>
      </c>
      <c r="C50" s="22" t="str">
        <f>IF(A50&lt;&gt;"",H49+B3*12,"")</f>
        <v/>
      </c>
      <c r="D50" s="22" t="str">
        <f>IF(A50&lt;&gt;"",H49*B5/100,"")</f>
        <v/>
      </c>
      <c r="E50" s="22" t="str">
        <f>IF(A50&lt;&gt;"",B6,"")</f>
        <v/>
      </c>
      <c r="F50" s="22" t="str">
        <f t="shared" si="0"/>
        <v/>
      </c>
      <c r="G50" s="22" t="str">
        <f>IF(A50&lt;&gt;"",F50*B7/100,"")</f>
        <v/>
      </c>
      <c r="H50" s="22" t="str">
        <f>IF(A50&lt;&gt;"",H49+B3*12+D50-G50,"")</f>
        <v/>
      </c>
    </row>
    <row r="51" spans="1:8" x14ac:dyDescent="0.35">
      <c r="A51" s="22" t="str">
        <f>IF(41&lt;=B4,41,"")</f>
        <v/>
      </c>
      <c r="B51" s="22" t="str">
        <f>IF(A51&lt;&gt;"",B3*12,"")</f>
        <v/>
      </c>
      <c r="C51" s="22" t="str">
        <f>IF(A51&lt;&gt;"",H50+B3*12,"")</f>
        <v/>
      </c>
      <c r="D51" s="22" t="str">
        <f>IF(A51&lt;&gt;"",H50*B5/100,"")</f>
        <v/>
      </c>
      <c r="E51" s="22" t="str">
        <f>IF(A51&lt;&gt;"",B6,"")</f>
        <v/>
      </c>
      <c r="F51" s="22" t="str">
        <f t="shared" si="0"/>
        <v/>
      </c>
      <c r="G51" s="22" t="str">
        <f>IF(A51&lt;&gt;"",F51*B7/100,"")</f>
        <v/>
      </c>
      <c r="H51" s="22" t="str">
        <f>IF(A51&lt;&gt;"",H50+B3*12+D51-G51,"")</f>
        <v/>
      </c>
    </row>
    <row r="52" spans="1:8" x14ac:dyDescent="0.35">
      <c r="A52" s="22" t="str">
        <f>IF(42&lt;=B4,42,"")</f>
        <v/>
      </c>
      <c r="B52" s="22" t="str">
        <f>IF(A52&lt;&gt;"",B3*12,"")</f>
        <v/>
      </c>
      <c r="C52" s="22" t="str">
        <f>IF(A52&lt;&gt;"",H51+B3*12,"")</f>
        <v/>
      </c>
      <c r="D52" s="22" t="str">
        <f>IF(A52&lt;&gt;"",H51*B5/100,"")</f>
        <v/>
      </c>
      <c r="E52" s="22" t="str">
        <f>IF(A52&lt;&gt;"",B6,"")</f>
        <v/>
      </c>
      <c r="F52" s="22" t="str">
        <f t="shared" si="0"/>
        <v/>
      </c>
      <c r="G52" s="22" t="str">
        <f>IF(A52&lt;&gt;"",F52*B7/100,"")</f>
        <v/>
      </c>
      <c r="H52" s="22" t="str">
        <f>IF(A52&lt;&gt;"",H51+B3*12+D52-G52,"")</f>
        <v/>
      </c>
    </row>
    <row r="53" spans="1:8" x14ac:dyDescent="0.35">
      <c r="A53" s="22" t="str">
        <f>IF(43&lt;=B4,43,"")</f>
        <v/>
      </c>
      <c r="B53" s="22" t="str">
        <f>IF(A53&lt;&gt;"",B3*12,"")</f>
        <v/>
      </c>
      <c r="C53" s="22" t="str">
        <f>IF(A53&lt;&gt;"",H52+B3*12,"")</f>
        <v/>
      </c>
      <c r="D53" s="22" t="str">
        <f>IF(A53&lt;&gt;"",H52*B5/100,"")</f>
        <v/>
      </c>
      <c r="E53" s="22" t="str">
        <f>IF(A53&lt;&gt;"",B6,"")</f>
        <v/>
      </c>
      <c r="F53" s="22" t="str">
        <f t="shared" si="0"/>
        <v/>
      </c>
      <c r="G53" s="22" t="str">
        <f>IF(A53&lt;&gt;"",F53*B7/100,"")</f>
        <v/>
      </c>
      <c r="H53" s="22" t="str">
        <f>IF(A53&lt;&gt;"",H52+B3*12+D53-G53,"")</f>
        <v/>
      </c>
    </row>
    <row r="54" spans="1:8" x14ac:dyDescent="0.35">
      <c r="A54" s="22" t="str">
        <f>IF(44&lt;=B4,44,"")</f>
        <v/>
      </c>
      <c r="B54" s="22" t="str">
        <f>IF(A54&lt;&gt;"",B3*12,"")</f>
        <v/>
      </c>
      <c r="C54" s="22" t="str">
        <f>IF(A54&lt;&gt;"",H53+B3*12,"")</f>
        <v/>
      </c>
      <c r="D54" s="22" t="str">
        <f>IF(A54&lt;&gt;"",H53*B5/100,"")</f>
        <v/>
      </c>
      <c r="E54" s="22" t="str">
        <f>IF(A54&lt;&gt;"",B6,"")</f>
        <v/>
      </c>
      <c r="F54" s="22" t="str">
        <f t="shared" si="0"/>
        <v/>
      </c>
      <c r="G54" s="22" t="str">
        <f>IF(A54&lt;&gt;"",F54*B7/100,"")</f>
        <v/>
      </c>
      <c r="H54" s="22" t="str">
        <f>IF(A54&lt;&gt;"",H53+B3*12+D54-G54,"")</f>
        <v/>
      </c>
    </row>
    <row r="55" spans="1:8" x14ac:dyDescent="0.35">
      <c r="A55" s="22" t="str">
        <f>IF(45&lt;=B4,45,"")</f>
        <v/>
      </c>
      <c r="B55" s="22" t="str">
        <f>IF(A55&lt;&gt;"",B3*12,"")</f>
        <v/>
      </c>
      <c r="C55" s="22" t="str">
        <f>IF(A55&lt;&gt;"",H54+B3*12,"")</f>
        <v/>
      </c>
      <c r="D55" s="22" t="str">
        <f>IF(A55&lt;&gt;"",H54*B5/100,"")</f>
        <v/>
      </c>
      <c r="E55" s="22" t="str">
        <f>IF(A55&lt;&gt;"",B6,"")</f>
        <v/>
      </c>
      <c r="F55" s="22" t="str">
        <f t="shared" si="0"/>
        <v/>
      </c>
      <c r="G55" s="22" t="str">
        <f>IF(A55&lt;&gt;"",F55*B7/100,"")</f>
        <v/>
      </c>
      <c r="H55" s="22" t="str">
        <f>IF(A55&lt;&gt;"",H54+B3*12+D55-G55,"")</f>
        <v/>
      </c>
    </row>
    <row r="56" spans="1:8" x14ac:dyDescent="0.35">
      <c r="A56" s="22" t="str">
        <f>IF(46&lt;=B4,46,"")</f>
        <v/>
      </c>
      <c r="B56" s="22" t="str">
        <f>IF(A56&lt;&gt;"",B3*12,"")</f>
        <v/>
      </c>
      <c r="C56" s="22" t="str">
        <f>IF(A56&lt;&gt;"",H55+B3*12,"")</f>
        <v/>
      </c>
      <c r="D56" s="22" t="str">
        <f>IF(A56&lt;&gt;"",H55*B5/100,"")</f>
        <v/>
      </c>
      <c r="E56" s="22" t="str">
        <f>IF(A56&lt;&gt;"",B6,"")</f>
        <v/>
      </c>
      <c r="F56" s="22" t="str">
        <f t="shared" si="0"/>
        <v/>
      </c>
      <c r="G56" s="22" t="str">
        <f>IF(A56&lt;&gt;"",F56*B7/100,"")</f>
        <v/>
      </c>
      <c r="H56" s="22" t="str">
        <f>IF(A56&lt;&gt;"",H55+B3*12+D56-G56,"")</f>
        <v/>
      </c>
    </row>
    <row r="57" spans="1:8" x14ac:dyDescent="0.35">
      <c r="A57" s="22" t="str">
        <f>IF(47&lt;=B4,47,"")</f>
        <v/>
      </c>
      <c r="B57" s="22" t="str">
        <f>IF(A57&lt;&gt;"",B3*12,"")</f>
        <v/>
      </c>
      <c r="C57" s="22" t="str">
        <f>IF(A57&lt;&gt;"",H56+B3*12,"")</f>
        <v/>
      </c>
      <c r="D57" s="22" t="str">
        <f>IF(A57&lt;&gt;"",H56*B5/100,"")</f>
        <v/>
      </c>
      <c r="E57" s="22" t="str">
        <f>IF(A57&lt;&gt;"",B6,"")</f>
        <v/>
      </c>
      <c r="F57" s="22" t="str">
        <f t="shared" si="0"/>
        <v/>
      </c>
      <c r="G57" s="22" t="str">
        <f>IF(A57&lt;&gt;"",F57*B7/100,"")</f>
        <v/>
      </c>
      <c r="H57" s="22" t="str">
        <f>IF(A57&lt;&gt;"",H56+B3*12+D57-G57,"")</f>
        <v/>
      </c>
    </row>
    <row r="58" spans="1:8" x14ac:dyDescent="0.35">
      <c r="A58" s="22" t="str">
        <f>IF(48&lt;=B4,48,"")</f>
        <v/>
      </c>
      <c r="B58" s="22" t="str">
        <f>IF(A58&lt;&gt;"",B3*12,"")</f>
        <v/>
      </c>
      <c r="C58" s="22" t="str">
        <f>IF(A58&lt;&gt;"",H57+B3*12,"")</f>
        <v/>
      </c>
      <c r="D58" s="22" t="str">
        <f>IF(A58&lt;&gt;"",H57*B5/100,"")</f>
        <v/>
      </c>
      <c r="E58" s="22" t="str">
        <f>IF(A58&lt;&gt;"",B6,"")</f>
        <v/>
      </c>
      <c r="F58" s="22" t="str">
        <f t="shared" si="0"/>
        <v/>
      </c>
      <c r="G58" s="22" t="str">
        <f>IF(A58&lt;&gt;"",F58*B7/100,"")</f>
        <v/>
      </c>
      <c r="H58" s="22" t="str">
        <f>IF(A58&lt;&gt;"",H57+B3*12+D58-G58,"")</f>
        <v/>
      </c>
    </row>
    <row r="59" spans="1:8" x14ac:dyDescent="0.35">
      <c r="A59" s="22" t="str">
        <f>IF(49&lt;=B4,49,"")</f>
        <v/>
      </c>
      <c r="B59" s="22" t="str">
        <f>IF(A59&lt;&gt;"",B3*12,"")</f>
        <v/>
      </c>
      <c r="C59" s="22" t="str">
        <f>IF(A59&lt;&gt;"",H58+B3*12,"")</f>
        <v/>
      </c>
      <c r="D59" s="22" t="str">
        <f>IF(A59&lt;&gt;"",H58*B5/100,"")</f>
        <v/>
      </c>
      <c r="E59" s="22" t="str">
        <f>IF(A59&lt;&gt;"",B6,"")</f>
        <v/>
      </c>
      <c r="F59" s="22" t="str">
        <f t="shared" si="0"/>
        <v/>
      </c>
      <c r="G59" s="22" t="str">
        <f>IF(A59&lt;&gt;"",F59*B7/100,"")</f>
        <v/>
      </c>
      <c r="H59" s="22" t="str">
        <f>IF(A59&lt;&gt;"",H58+B3*12+D59-G59,"")</f>
        <v/>
      </c>
    </row>
    <row r="60" spans="1:8" x14ac:dyDescent="0.35">
      <c r="A60" s="22" t="str">
        <f>IF(50&lt;=B4,50,"")</f>
        <v/>
      </c>
      <c r="B60" s="22" t="str">
        <f>IF(A60&lt;&gt;"",B3*12,"")</f>
        <v/>
      </c>
      <c r="C60" s="22" t="str">
        <f>IF(A60&lt;&gt;"",H59+B3*12,"")</f>
        <v/>
      </c>
      <c r="D60" s="22" t="str">
        <f>IF(A60&lt;&gt;"",H59*B5/100,"")</f>
        <v/>
      </c>
      <c r="E60" s="22" t="str">
        <f>IF(A60&lt;&gt;"",B6,"")</f>
        <v/>
      </c>
      <c r="F60" s="22" t="str">
        <f t="shared" si="0"/>
        <v/>
      </c>
      <c r="G60" s="22" t="str">
        <f>IF(A60&lt;&gt;"",F60*B7/100,"")</f>
        <v/>
      </c>
      <c r="H60" s="22" t="str">
        <f>IF(A60&lt;&gt;"",H59+B3*12+D60-G60,"")</f>
        <v/>
      </c>
    </row>
    <row r="61" spans="1:8" x14ac:dyDescent="0.35">
      <c r="A61" s="22" t="str">
        <f>IF(51&lt;=B4,51,"")</f>
        <v/>
      </c>
      <c r="B61" s="22" t="str">
        <f>IF(A61&lt;&gt;"",B3*12,"")</f>
        <v/>
      </c>
      <c r="C61" s="22" t="str">
        <f>IF(A61&lt;&gt;"",H60+B3*12,"")</f>
        <v/>
      </c>
      <c r="D61" s="22" t="str">
        <f>IF(A61&lt;&gt;"",H60*B5/100,"")</f>
        <v/>
      </c>
      <c r="E61" s="22" t="str">
        <f>IF(A61&lt;&gt;"",B6,"")</f>
        <v/>
      </c>
      <c r="F61" s="22" t="str">
        <f t="shared" si="0"/>
        <v/>
      </c>
      <c r="G61" s="22" t="str">
        <f>IF(A61&lt;&gt;"",F61*B7/100,"")</f>
        <v/>
      </c>
      <c r="H61" s="22" t="str">
        <f>IF(A61&lt;&gt;"",H60+B3*12+D61-G61,"")</f>
        <v/>
      </c>
    </row>
    <row r="62" spans="1:8" x14ac:dyDescent="0.35">
      <c r="A62" s="22" t="str">
        <f>IF(52&lt;=B4,52,"")</f>
        <v/>
      </c>
      <c r="B62" s="22" t="str">
        <f>IF(A62&lt;&gt;"",B3*12,"")</f>
        <v/>
      </c>
      <c r="C62" s="22" t="str">
        <f>IF(A62&lt;&gt;"",H61+B3*12,"")</f>
        <v/>
      </c>
      <c r="D62" s="22" t="str">
        <f>IF(A62&lt;&gt;"",H61*B5/100,"")</f>
        <v/>
      </c>
      <c r="E62" s="22" t="str">
        <f>IF(A62&lt;&gt;"",B6,"")</f>
        <v/>
      </c>
      <c r="F62" s="22" t="str">
        <f t="shared" si="0"/>
        <v/>
      </c>
      <c r="G62" s="22" t="str">
        <f>IF(A62&lt;&gt;"",F62*B7/100,"")</f>
        <v/>
      </c>
      <c r="H62" s="22" t="str">
        <f>IF(A62&lt;&gt;"",H61+B3*12+D62-G62,"")</f>
        <v/>
      </c>
    </row>
    <row r="63" spans="1:8" x14ac:dyDescent="0.35">
      <c r="A63" s="22" t="str">
        <f>IF(53&lt;=B4,53,"")</f>
        <v/>
      </c>
      <c r="B63" s="22" t="str">
        <f>IF(A63&lt;&gt;"",B3*12,"")</f>
        <v/>
      </c>
      <c r="C63" s="22" t="str">
        <f>IF(A63&lt;&gt;"",H62+B3*12,"")</f>
        <v/>
      </c>
      <c r="D63" s="22" t="str">
        <f>IF(A63&lt;&gt;"",H62*B5/100,"")</f>
        <v/>
      </c>
      <c r="E63" s="22" t="str">
        <f>IF(A63&lt;&gt;"",B6,"")</f>
        <v/>
      </c>
      <c r="F63" s="22" t="str">
        <f t="shared" si="0"/>
        <v/>
      </c>
      <c r="G63" s="22" t="str">
        <f>IF(A63&lt;&gt;"",F63*B7/100,"")</f>
        <v/>
      </c>
      <c r="H63" s="22" t="str">
        <f>IF(A63&lt;&gt;"",H62+B3*12+D63-G63,"")</f>
        <v/>
      </c>
    </row>
    <row r="64" spans="1:8" x14ac:dyDescent="0.35">
      <c r="A64" s="22" t="str">
        <f>IF(54&lt;=B4,54,"")</f>
        <v/>
      </c>
      <c r="B64" s="22" t="str">
        <f>IF(A64&lt;&gt;"",B3*12,"")</f>
        <v/>
      </c>
      <c r="C64" s="22" t="str">
        <f>IF(A64&lt;&gt;"",H63+B3*12,"")</f>
        <v/>
      </c>
      <c r="D64" s="22" t="str">
        <f>IF(A64&lt;&gt;"",H63*B5/100,"")</f>
        <v/>
      </c>
      <c r="E64" s="22" t="str">
        <f>IF(A64&lt;&gt;"",B6,"")</f>
        <v/>
      </c>
      <c r="F64" s="22" t="str">
        <f t="shared" si="0"/>
        <v/>
      </c>
      <c r="G64" s="22" t="str">
        <f>IF(A64&lt;&gt;"",F64*B7/100,"")</f>
        <v/>
      </c>
      <c r="H64" s="22" t="str">
        <f>IF(A64&lt;&gt;"",H63+B3*12+D64-G64,"")</f>
        <v/>
      </c>
    </row>
    <row r="65" spans="1:8" x14ac:dyDescent="0.35">
      <c r="A65" s="22" t="str">
        <f>IF(55&lt;=B4,55,"")</f>
        <v/>
      </c>
      <c r="B65" s="22" t="str">
        <f>IF(A65&lt;&gt;"",B3*12,"")</f>
        <v/>
      </c>
      <c r="C65" s="22" t="str">
        <f>IF(A65&lt;&gt;"",H64+B3*12,"")</f>
        <v/>
      </c>
      <c r="D65" s="22" t="str">
        <f>IF(A65&lt;&gt;"",H64*B5/100,"")</f>
        <v/>
      </c>
      <c r="E65" s="22" t="str">
        <f>IF(A65&lt;&gt;"",B6,"")</f>
        <v/>
      </c>
      <c r="F65" s="22" t="str">
        <f t="shared" si="0"/>
        <v/>
      </c>
      <c r="G65" s="22" t="str">
        <f>IF(A65&lt;&gt;"",F65*B7/100,"")</f>
        <v/>
      </c>
      <c r="H65" s="22" t="str">
        <f>IF(A65&lt;&gt;"",H64+B3*12+D65-G65,"")</f>
        <v/>
      </c>
    </row>
    <row r="66" spans="1:8" x14ac:dyDescent="0.35">
      <c r="A66" s="22" t="str">
        <f>IF(56&lt;=B4,56,"")</f>
        <v/>
      </c>
      <c r="B66" s="22" t="str">
        <f>IF(A66&lt;&gt;"",B3*12,"")</f>
        <v/>
      </c>
      <c r="C66" s="22" t="str">
        <f>IF(A66&lt;&gt;"",H65+B3*12,"")</f>
        <v/>
      </c>
      <c r="D66" s="22" t="str">
        <f>IF(A66&lt;&gt;"",H65*B5/100,"")</f>
        <v/>
      </c>
      <c r="E66" s="22" t="str">
        <f>IF(A66&lt;&gt;"",B6,"")</f>
        <v/>
      </c>
      <c r="F66" s="22" t="str">
        <f t="shared" si="0"/>
        <v/>
      </c>
      <c r="G66" s="22" t="str">
        <f>IF(A66&lt;&gt;"",F66*B7/100,"")</f>
        <v/>
      </c>
      <c r="H66" s="22" t="str">
        <f>IF(A66&lt;&gt;"",H65+B3*12+D66-G66,"")</f>
        <v/>
      </c>
    </row>
    <row r="67" spans="1:8" x14ac:dyDescent="0.35">
      <c r="A67" s="22" t="str">
        <f>IF(57&lt;=B4,57,"")</f>
        <v/>
      </c>
      <c r="B67" s="22" t="str">
        <f>IF(A67&lt;&gt;"",B3*12,"")</f>
        <v/>
      </c>
      <c r="C67" s="22" t="str">
        <f>IF(A67&lt;&gt;"",H66+B3*12,"")</f>
        <v/>
      </c>
      <c r="D67" s="22" t="str">
        <f>IF(A67&lt;&gt;"",H66*B5/100,"")</f>
        <v/>
      </c>
      <c r="E67" s="22" t="str">
        <f>IF(A67&lt;&gt;"",B6,"")</f>
        <v/>
      </c>
      <c r="F67" s="22" t="str">
        <f t="shared" si="0"/>
        <v/>
      </c>
      <c r="G67" s="22" t="str">
        <f>IF(A67&lt;&gt;"",F67*B7/100,"")</f>
        <v/>
      </c>
      <c r="H67" s="22" t="str">
        <f>IF(A67&lt;&gt;"",H66+B3*12+D67-G67,"")</f>
        <v/>
      </c>
    </row>
    <row r="68" spans="1:8" x14ac:dyDescent="0.35">
      <c r="A68" s="22" t="str">
        <f>IF(58&lt;=B4,58,"")</f>
        <v/>
      </c>
      <c r="B68" s="22" t="str">
        <f>IF(A68&lt;&gt;"",B3*12,"")</f>
        <v/>
      </c>
      <c r="C68" s="22" t="str">
        <f>IF(A68&lt;&gt;"",H67+B3*12,"")</f>
        <v/>
      </c>
      <c r="D68" s="22" t="str">
        <f>IF(A68&lt;&gt;"",H67*B5/100,"")</f>
        <v/>
      </c>
      <c r="E68" s="22" t="str">
        <f>IF(A68&lt;&gt;"",B6,"")</f>
        <v/>
      </c>
      <c r="F68" s="22" t="str">
        <f t="shared" si="0"/>
        <v/>
      </c>
      <c r="G68" s="22" t="str">
        <f>IF(A68&lt;&gt;"",F68*B7/100,"")</f>
        <v/>
      </c>
      <c r="H68" s="22" t="str">
        <f>IF(A68&lt;&gt;"",H67+B3*12+D68-G68,"")</f>
        <v/>
      </c>
    </row>
    <row r="69" spans="1:8" x14ac:dyDescent="0.35">
      <c r="A69" s="22" t="str">
        <f>IF(59&lt;=B4,59,"")</f>
        <v/>
      </c>
      <c r="B69" s="22" t="str">
        <f>IF(A69&lt;&gt;"",B3*12,"")</f>
        <v/>
      </c>
      <c r="C69" s="22" t="str">
        <f>IF(A69&lt;&gt;"",H68+B3*12,"")</f>
        <v/>
      </c>
      <c r="D69" s="22" t="str">
        <f>IF(A69&lt;&gt;"",H68*B5/100,"")</f>
        <v/>
      </c>
      <c r="E69" s="22" t="str">
        <f>IF(A69&lt;&gt;"",B6,"")</f>
        <v/>
      </c>
      <c r="F69" s="22" t="str">
        <f t="shared" si="0"/>
        <v/>
      </c>
      <c r="G69" s="22" t="str">
        <f>IF(A69&lt;&gt;"",F69*B7/100,"")</f>
        <v/>
      </c>
      <c r="H69" s="22" t="str">
        <f>IF(A69&lt;&gt;"",H68+B3*12+D69-G69,"")</f>
        <v/>
      </c>
    </row>
    <row r="70" spans="1:8" x14ac:dyDescent="0.35">
      <c r="A70" s="22" t="str">
        <f>IF(60&lt;=B4,60,"")</f>
        <v/>
      </c>
      <c r="B70" s="22" t="str">
        <f>IF(A70&lt;&gt;"",B3*12,"")</f>
        <v/>
      </c>
      <c r="C70" s="22" t="str">
        <f>IF(A70&lt;&gt;"",H69+B3*12,"")</f>
        <v/>
      </c>
      <c r="D70" s="22" t="str">
        <f>IF(A70&lt;&gt;"",H69*B5/100,"")</f>
        <v/>
      </c>
      <c r="E70" s="22" t="str">
        <f>IF(A70&lt;&gt;"",B6,"")</f>
        <v/>
      </c>
      <c r="F70" s="22" t="str">
        <f t="shared" si="0"/>
        <v/>
      </c>
      <c r="G70" s="22" t="str">
        <f>IF(A70&lt;&gt;"",F70*B7/100,"")</f>
        <v/>
      </c>
      <c r="H70" s="22" t="str">
        <f>IF(A70&lt;&gt;"",H69+B3*12+D70-G70,"")</f>
        <v/>
      </c>
    </row>
    <row r="71" spans="1:8" x14ac:dyDescent="0.35">
      <c r="A71" s="22" t="str">
        <f>IF(61&lt;=B4,61,"")</f>
        <v/>
      </c>
      <c r="B71" s="22" t="str">
        <f>IF(A71&lt;&gt;"",B3*12,"")</f>
        <v/>
      </c>
      <c r="C71" s="22" t="str">
        <f>IF(A71&lt;&gt;"",H70+B3*12,"")</f>
        <v/>
      </c>
      <c r="D71" s="22" t="str">
        <f>IF(A71&lt;&gt;"",H70*B5/100,"")</f>
        <v/>
      </c>
      <c r="E71" s="22" t="str">
        <f>IF(A71&lt;&gt;"",B6,"")</f>
        <v/>
      </c>
      <c r="F71" s="22" t="str">
        <f t="shared" si="0"/>
        <v/>
      </c>
      <c r="G71" s="22" t="str">
        <f>IF(A71&lt;&gt;"",F71*B7/100,"")</f>
        <v/>
      </c>
      <c r="H71" s="22" t="str">
        <f>IF(A71&lt;&gt;"",H70+B3*12+D71-G71,"")</f>
        <v/>
      </c>
    </row>
    <row r="72" spans="1:8" x14ac:dyDescent="0.35">
      <c r="A72" s="22" t="str">
        <f>IF(62&lt;=B4,62,"")</f>
        <v/>
      </c>
      <c r="B72" s="22" t="str">
        <f>IF(A72&lt;&gt;"",B3*12,"")</f>
        <v/>
      </c>
      <c r="C72" s="22" t="str">
        <f>IF(A72&lt;&gt;"",H71+B3*12,"")</f>
        <v/>
      </c>
      <c r="D72" s="22" t="str">
        <f>IF(A72&lt;&gt;"",H71*B5/100,"")</f>
        <v/>
      </c>
      <c r="E72" s="22" t="str">
        <f>IF(A72&lt;&gt;"",B6,"")</f>
        <v/>
      </c>
      <c r="F72" s="22" t="str">
        <f t="shared" si="0"/>
        <v/>
      </c>
      <c r="G72" s="22" t="str">
        <f>IF(A72&lt;&gt;"",F72*B7/100,"")</f>
        <v/>
      </c>
      <c r="H72" s="22" t="str">
        <f>IF(A72&lt;&gt;"",H71+B3*12+D72-G72,"")</f>
        <v/>
      </c>
    </row>
    <row r="73" spans="1:8" x14ac:dyDescent="0.35">
      <c r="A73" s="22" t="str">
        <f>IF(63&lt;=B4,63,"")</f>
        <v/>
      </c>
      <c r="B73" s="22" t="str">
        <f>IF(A73&lt;&gt;"",B3*12,"")</f>
        <v/>
      </c>
      <c r="C73" s="22" t="str">
        <f>IF(A73&lt;&gt;"",H72+B3*12,"")</f>
        <v/>
      </c>
      <c r="D73" s="22" t="str">
        <f>IF(A73&lt;&gt;"",H72*B5/100,"")</f>
        <v/>
      </c>
      <c r="E73" s="22" t="str">
        <f>IF(A73&lt;&gt;"",B6,"")</f>
        <v/>
      </c>
      <c r="F73" s="22" t="str">
        <f t="shared" si="0"/>
        <v/>
      </c>
      <c r="G73" s="22" t="str">
        <f>IF(A73&lt;&gt;"",F73*B7/100,"")</f>
        <v/>
      </c>
      <c r="H73" s="22" t="str">
        <f>IF(A73&lt;&gt;"",H72+B3*12+D73-G73,"")</f>
        <v/>
      </c>
    </row>
    <row r="74" spans="1:8" x14ac:dyDescent="0.35">
      <c r="A74" s="22" t="str">
        <f>IF(64&lt;=B4,64,"")</f>
        <v/>
      </c>
      <c r="B74" s="22" t="str">
        <f>IF(A74&lt;&gt;"",B3*12,"")</f>
        <v/>
      </c>
      <c r="C74" s="22" t="str">
        <f>IF(A74&lt;&gt;"",H73+B3*12,"")</f>
        <v/>
      </c>
      <c r="D74" s="22" t="str">
        <f>IF(A74&lt;&gt;"",H73*B5/100,"")</f>
        <v/>
      </c>
      <c r="E74" s="22" t="str">
        <f>IF(A74&lt;&gt;"",B6,"")</f>
        <v/>
      </c>
      <c r="F74" s="22" t="str">
        <f t="shared" si="0"/>
        <v/>
      </c>
      <c r="G74" s="22" t="str">
        <f>IF(A74&lt;&gt;"",F74*B7/100,"")</f>
        <v/>
      </c>
      <c r="H74" s="22" t="str">
        <f>IF(A74&lt;&gt;"",H73+B3*12+D74-G74,"")</f>
        <v/>
      </c>
    </row>
    <row r="75" spans="1:8" x14ac:dyDescent="0.35">
      <c r="A75" s="22" t="str">
        <f>IF(65&lt;=B4,65,"")</f>
        <v/>
      </c>
      <c r="B75" s="22" t="str">
        <f>IF(A75&lt;&gt;"",B3*12,"")</f>
        <v/>
      </c>
      <c r="C75" s="22" t="str">
        <f>IF(A75&lt;&gt;"",H74+B3*12,"")</f>
        <v/>
      </c>
      <c r="D75" s="22" t="str">
        <f>IF(A75&lt;&gt;"",H74*B5/100,"")</f>
        <v/>
      </c>
      <c r="E75" s="22" t="str">
        <f>IF(A75&lt;&gt;"",B6,"")</f>
        <v/>
      </c>
      <c r="F75" s="22" t="str">
        <f t="shared" ref="F75:F110" si="1">IF(A75&lt;&gt;"",MAX(0,D75-E75),"")</f>
        <v/>
      </c>
      <c r="G75" s="22" t="str">
        <f>IF(A75&lt;&gt;"",F75*B7/100,"")</f>
        <v/>
      </c>
      <c r="H75" s="22" t="str">
        <f>IF(A75&lt;&gt;"",H74+B3*12+D75-G75,"")</f>
        <v/>
      </c>
    </row>
    <row r="76" spans="1:8" x14ac:dyDescent="0.35">
      <c r="A76" s="22" t="str">
        <f>IF(66&lt;=B4,66,"")</f>
        <v/>
      </c>
      <c r="B76" s="22" t="str">
        <f>IF(A76&lt;&gt;"",B3*12,"")</f>
        <v/>
      </c>
      <c r="C76" s="22" t="str">
        <f>IF(A76&lt;&gt;"",H75+B3*12,"")</f>
        <v/>
      </c>
      <c r="D76" s="22" t="str">
        <f>IF(A76&lt;&gt;"",H75*B5/100,"")</f>
        <v/>
      </c>
      <c r="E76" s="22" t="str">
        <f>IF(A76&lt;&gt;"",B6,"")</f>
        <v/>
      </c>
      <c r="F76" s="22" t="str">
        <f t="shared" si="1"/>
        <v/>
      </c>
      <c r="G76" s="22" t="str">
        <f>IF(A76&lt;&gt;"",F76*B7/100,"")</f>
        <v/>
      </c>
      <c r="H76" s="22" t="str">
        <f>IF(A76&lt;&gt;"",H75+B3*12+D76-G76,"")</f>
        <v/>
      </c>
    </row>
    <row r="77" spans="1:8" x14ac:dyDescent="0.35">
      <c r="A77" s="22" t="str">
        <f>IF(67&lt;=B4,67,"")</f>
        <v/>
      </c>
      <c r="B77" s="22" t="str">
        <f>IF(A77&lt;&gt;"",B3*12,"")</f>
        <v/>
      </c>
      <c r="C77" s="22" t="str">
        <f>IF(A77&lt;&gt;"",H76+B3*12,"")</f>
        <v/>
      </c>
      <c r="D77" s="22" t="str">
        <f>IF(A77&lt;&gt;"",H76*B5/100,"")</f>
        <v/>
      </c>
      <c r="E77" s="22" t="str">
        <f>IF(A77&lt;&gt;"",B6,"")</f>
        <v/>
      </c>
      <c r="F77" s="22" t="str">
        <f t="shared" si="1"/>
        <v/>
      </c>
      <c r="G77" s="22" t="str">
        <f>IF(A77&lt;&gt;"",F77*B7/100,"")</f>
        <v/>
      </c>
      <c r="H77" s="22" t="str">
        <f>IF(A77&lt;&gt;"",H76+B3*12+D77-G77,"")</f>
        <v/>
      </c>
    </row>
    <row r="78" spans="1:8" x14ac:dyDescent="0.35">
      <c r="A78" s="22" t="str">
        <f>IF(68&lt;=B4,68,"")</f>
        <v/>
      </c>
      <c r="B78" s="22" t="str">
        <f>IF(A78&lt;&gt;"",B3*12,"")</f>
        <v/>
      </c>
      <c r="C78" s="22" t="str">
        <f>IF(A78&lt;&gt;"",H77+B3*12,"")</f>
        <v/>
      </c>
      <c r="D78" s="22" t="str">
        <f>IF(A78&lt;&gt;"",H77*B5/100,"")</f>
        <v/>
      </c>
      <c r="E78" s="22" t="str">
        <f>IF(A78&lt;&gt;"",B6,"")</f>
        <v/>
      </c>
      <c r="F78" s="22" t="str">
        <f t="shared" si="1"/>
        <v/>
      </c>
      <c r="G78" s="22" t="str">
        <f>IF(A78&lt;&gt;"",F78*B7/100,"")</f>
        <v/>
      </c>
      <c r="H78" s="22" t="str">
        <f>IF(A78&lt;&gt;"",H77+B3*12+D78-G78,"")</f>
        <v/>
      </c>
    </row>
    <row r="79" spans="1:8" x14ac:dyDescent="0.35">
      <c r="A79" s="22" t="str">
        <f>IF(69&lt;=B4,69,"")</f>
        <v/>
      </c>
      <c r="B79" s="22" t="str">
        <f>IF(A79&lt;&gt;"",B3*12,"")</f>
        <v/>
      </c>
      <c r="C79" s="22" t="str">
        <f>IF(A79&lt;&gt;"",H78+B3*12,"")</f>
        <v/>
      </c>
      <c r="D79" s="22" t="str">
        <f>IF(A79&lt;&gt;"",H78*B5/100,"")</f>
        <v/>
      </c>
      <c r="E79" s="22" t="str">
        <f>IF(A79&lt;&gt;"",B6,"")</f>
        <v/>
      </c>
      <c r="F79" s="22" t="str">
        <f t="shared" si="1"/>
        <v/>
      </c>
      <c r="G79" s="22" t="str">
        <f>IF(A79&lt;&gt;"",F79*B7/100,"")</f>
        <v/>
      </c>
      <c r="H79" s="22" t="str">
        <f>IF(A79&lt;&gt;"",H78+B3*12+D79-G79,"")</f>
        <v/>
      </c>
    </row>
    <row r="80" spans="1:8" x14ac:dyDescent="0.35">
      <c r="A80" s="22" t="str">
        <f>IF(70&lt;=B4,70,"")</f>
        <v/>
      </c>
      <c r="B80" s="22" t="str">
        <f>IF(A80&lt;&gt;"",B3*12,"")</f>
        <v/>
      </c>
      <c r="C80" s="22" t="str">
        <f>IF(A80&lt;&gt;"",H79+B3*12,"")</f>
        <v/>
      </c>
      <c r="D80" s="22" t="str">
        <f>IF(A80&lt;&gt;"",H79*B5/100,"")</f>
        <v/>
      </c>
      <c r="E80" s="22" t="str">
        <f>IF(A80&lt;&gt;"",B6,"")</f>
        <v/>
      </c>
      <c r="F80" s="22" t="str">
        <f t="shared" si="1"/>
        <v/>
      </c>
      <c r="G80" s="22" t="str">
        <f>IF(A80&lt;&gt;"",F80*B7/100,"")</f>
        <v/>
      </c>
      <c r="H80" s="22" t="str">
        <f>IF(A80&lt;&gt;"",H79+B3*12+D80-G80,"")</f>
        <v/>
      </c>
    </row>
    <row r="81" spans="1:8" x14ac:dyDescent="0.35">
      <c r="A81" s="22" t="str">
        <f>IF(71&lt;=B4,71,"")</f>
        <v/>
      </c>
      <c r="B81" s="22" t="str">
        <f>IF(A81&lt;&gt;"",B3*12,"")</f>
        <v/>
      </c>
      <c r="C81" s="22" t="str">
        <f>IF(A81&lt;&gt;"",H80+B3*12,"")</f>
        <v/>
      </c>
      <c r="D81" s="22" t="str">
        <f>IF(A81&lt;&gt;"",H80*B5/100,"")</f>
        <v/>
      </c>
      <c r="E81" s="22" t="str">
        <f>IF(A81&lt;&gt;"",B6,"")</f>
        <v/>
      </c>
      <c r="F81" s="22" t="str">
        <f t="shared" si="1"/>
        <v/>
      </c>
      <c r="G81" s="22" t="str">
        <f>IF(A81&lt;&gt;"",F81*B7/100,"")</f>
        <v/>
      </c>
      <c r="H81" s="22" t="str">
        <f>IF(A81&lt;&gt;"",H80+B3*12+D81-G81,"")</f>
        <v/>
      </c>
    </row>
    <row r="82" spans="1:8" x14ac:dyDescent="0.35">
      <c r="A82" s="22" t="str">
        <f>IF(72&lt;=B4,72,"")</f>
        <v/>
      </c>
      <c r="B82" s="22" t="str">
        <f>IF(A82&lt;&gt;"",B3*12,"")</f>
        <v/>
      </c>
      <c r="C82" s="22" t="str">
        <f>IF(A82&lt;&gt;"",H81+B3*12,"")</f>
        <v/>
      </c>
      <c r="D82" s="22" t="str">
        <f>IF(A82&lt;&gt;"",H81*B5/100,"")</f>
        <v/>
      </c>
      <c r="E82" s="22" t="str">
        <f>IF(A82&lt;&gt;"",B6,"")</f>
        <v/>
      </c>
      <c r="F82" s="22" t="str">
        <f t="shared" si="1"/>
        <v/>
      </c>
      <c r="G82" s="22" t="str">
        <f>IF(A82&lt;&gt;"",F82*B7/100,"")</f>
        <v/>
      </c>
      <c r="H82" s="22" t="str">
        <f>IF(A82&lt;&gt;"",H81+B3*12+D82-G82,"")</f>
        <v/>
      </c>
    </row>
    <row r="83" spans="1:8" x14ac:dyDescent="0.35">
      <c r="A83" s="22" t="str">
        <f>IF(73&lt;=B4,73,"")</f>
        <v/>
      </c>
      <c r="B83" s="22" t="str">
        <f>IF(A83&lt;&gt;"",B3*12,"")</f>
        <v/>
      </c>
      <c r="C83" s="22" t="str">
        <f>IF(A83&lt;&gt;"",H82+B3*12,"")</f>
        <v/>
      </c>
      <c r="D83" s="22" t="str">
        <f>IF(A83&lt;&gt;"",H82*B5/100,"")</f>
        <v/>
      </c>
      <c r="E83" s="22" t="str">
        <f>IF(A83&lt;&gt;"",B6,"")</f>
        <v/>
      </c>
      <c r="F83" s="22" t="str">
        <f t="shared" si="1"/>
        <v/>
      </c>
      <c r="G83" s="22" t="str">
        <f>IF(A83&lt;&gt;"",F83*B7/100,"")</f>
        <v/>
      </c>
      <c r="H83" s="22" t="str">
        <f>IF(A83&lt;&gt;"",H82+B3*12+D83-G83,"")</f>
        <v/>
      </c>
    </row>
    <row r="84" spans="1:8" x14ac:dyDescent="0.35">
      <c r="A84" s="22" t="str">
        <f>IF(74&lt;=B4,74,"")</f>
        <v/>
      </c>
      <c r="B84" s="22" t="str">
        <f>IF(A84&lt;&gt;"",B3*12,"")</f>
        <v/>
      </c>
      <c r="C84" s="22" t="str">
        <f>IF(A84&lt;&gt;"",H83+B3*12,"")</f>
        <v/>
      </c>
      <c r="D84" s="22" t="str">
        <f>IF(A84&lt;&gt;"",H83*B5/100,"")</f>
        <v/>
      </c>
      <c r="E84" s="22" t="str">
        <f>IF(A84&lt;&gt;"",B6,"")</f>
        <v/>
      </c>
      <c r="F84" s="22" t="str">
        <f t="shared" si="1"/>
        <v/>
      </c>
      <c r="G84" s="22" t="str">
        <f>IF(A84&lt;&gt;"",F84*B7/100,"")</f>
        <v/>
      </c>
      <c r="H84" s="22" t="str">
        <f>IF(A84&lt;&gt;"",H83+B3*12+D84-G84,"")</f>
        <v/>
      </c>
    </row>
    <row r="85" spans="1:8" x14ac:dyDescent="0.35">
      <c r="A85" s="22" t="str">
        <f>IF(75&lt;=B4,75,"")</f>
        <v/>
      </c>
      <c r="B85" s="22" t="str">
        <f>IF(A85&lt;&gt;"",B3*12,"")</f>
        <v/>
      </c>
      <c r="C85" s="22" t="str">
        <f>IF(A85&lt;&gt;"",H84+B3*12,"")</f>
        <v/>
      </c>
      <c r="D85" s="22" t="str">
        <f>IF(A85&lt;&gt;"",H84*B5/100,"")</f>
        <v/>
      </c>
      <c r="E85" s="22" t="str">
        <f>IF(A85&lt;&gt;"",B6,"")</f>
        <v/>
      </c>
      <c r="F85" s="22" t="str">
        <f t="shared" si="1"/>
        <v/>
      </c>
      <c r="G85" s="22" t="str">
        <f>IF(A85&lt;&gt;"",F85*B7/100,"")</f>
        <v/>
      </c>
      <c r="H85" s="22" t="str">
        <f>IF(A85&lt;&gt;"",H84+B3*12+D85-G85,"")</f>
        <v/>
      </c>
    </row>
    <row r="86" spans="1:8" x14ac:dyDescent="0.35">
      <c r="A86" s="22" t="str">
        <f>IF(76&lt;=B4,76,"")</f>
        <v/>
      </c>
      <c r="B86" s="22" t="str">
        <f>IF(A86&lt;&gt;"",B3*12,"")</f>
        <v/>
      </c>
      <c r="C86" s="22" t="str">
        <f>IF(A86&lt;&gt;"",H85+B3*12,"")</f>
        <v/>
      </c>
      <c r="D86" s="22" t="str">
        <f>IF(A86&lt;&gt;"",H85*B5/100,"")</f>
        <v/>
      </c>
      <c r="E86" s="22" t="str">
        <f>IF(A86&lt;&gt;"",B6,"")</f>
        <v/>
      </c>
      <c r="F86" s="22" t="str">
        <f t="shared" si="1"/>
        <v/>
      </c>
      <c r="G86" s="22" t="str">
        <f>IF(A86&lt;&gt;"",F86*B7/100,"")</f>
        <v/>
      </c>
      <c r="H86" s="22" t="str">
        <f>IF(A86&lt;&gt;"",H85+B3*12+D86-G86,"")</f>
        <v/>
      </c>
    </row>
    <row r="87" spans="1:8" x14ac:dyDescent="0.35">
      <c r="A87" s="22" t="str">
        <f>IF(77&lt;=B4,77,"")</f>
        <v/>
      </c>
      <c r="B87" s="22" t="str">
        <f>IF(A87&lt;&gt;"",B3*12,"")</f>
        <v/>
      </c>
      <c r="C87" s="22" t="str">
        <f>IF(A87&lt;&gt;"",H86+B3*12,"")</f>
        <v/>
      </c>
      <c r="D87" s="22" t="str">
        <f>IF(A87&lt;&gt;"",H86*B5/100,"")</f>
        <v/>
      </c>
      <c r="E87" s="22" t="str">
        <f>IF(A87&lt;&gt;"",B6,"")</f>
        <v/>
      </c>
      <c r="F87" s="22" t="str">
        <f t="shared" si="1"/>
        <v/>
      </c>
      <c r="G87" s="22" t="str">
        <f>IF(A87&lt;&gt;"",F87*B7/100,"")</f>
        <v/>
      </c>
      <c r="H87" s="22" t="str">
        <f>IF(A87&lt;&gt;"",H86+B3*12+D87-G87,"")</f>
        <v/>
      </c>
    </row>
    <row r="88" spans="1:8" x14ac:dyDescent="0.35">
      <c r="A88" s="22" t="str">
        <f>IF(78&lt;=B4,78,"")</f>
        <v/>
      </c>
      <c r="B88" s="22" t="str">
        <f>IF(A88&lt;&gt;"",B3*12,"")</f>
        <v/>
      </c>
      <c r="C88" s="22" t="str">
        <f>IF(A88&lt;&gt;"",H87+B3*12,"")</f>
        <v/>
      </c>
      <c r="D88" s="22" t="str">
        <f>IF(A88&lt;&gt;"",H87*B5/100,"")</f>
        <v/>
      </c>
      <c r="E88" s="22" t="str">
        <f>IF(A88&lt;&gt;"",B6,"")</f>
        <v/>
      </c>
      <c r="F88" s="22" t="str">
        <f t="shared" si="1"/>
        <v/>
      </c>
      <c r="G88" s="22" t="str">
        <f>IF(A88&lt;&gt;"",F88*B7/100,"")</f>
        <v/>
      </c>
      <c r="H88" s="22" t="str">
        <f>IF(A88&lt;&gt;"",H87+B3*12+D88-G88,"")</f>
        <v/>
      </c>
    </row>
    <row r="89" spans="1:8" x14ac:dyDescent="0.35">
      <c r="A89" s="22" t="str">
        <f>IF(79&lt;=B4,79,"")</f>
        <v/>
      </c>
      <c r="B89" s="22" t="str">
        <f>IF(A89&lt;&gt;"",B3*12,"")</f>
        <v/>
      </c>
      <c r="C89" s="22" t="str">
        <f>IF(A89&lt;&gt;"",H88+B3*12,"")</f>
        <v/>
      </c>
      <c r="D89" s="22" t="str">
        <f>IF(A89&lt;&gt;"",H88*B5/100,"")</f>
        <v/>
      </c>
      <c r="E89" s="22" t="str">
        <f>IF(A89&lt;&gt;"",B6,"")</f>
        <v/>
      </c>
      <c r="F89" s="22" t="str">
        <f t="shared" si="1"/>
        <v/>
      </c>
      <c r="G89" s="22" t="str">
        <f>IF(A89&lt;&gt;"",F89*B7/100,"")</f>
        <v/>
      </c>
      <c r="H89" s="22" t="str">
        <f>IF(A89&lt;&gt;"",H88+B3*12+D89-G89,"")</f>
        <v/>
      </c>
    </row>
    <row r="90" spans="1:8" x14ac:dyDescent="0.35">
      <c r="A90" s="22" t="str">
        <f>IF(80&lt;=B4,80,"")</f>
        <v/>
      </c>
      <c r="B90" s="22" t="str">
        <f>IF(A90&lt;&gt;"",B3*12,"")</f>
        <v/>
      </c>
      <c r="C90" s="22" t="str">
        <f>IF(A90&lt;&gt;"",H89+B3*12,"")</f>
        <v/>
      </c>
      <c r="D90" s="22" t="str">
        <f>IF(A90&lt;&gt;"",H89*B5/100,"")</f>
        <v/>
      </c>
      <c r="E90" s="22" t="str">
        <f>IF(A90&lt;&gt;"",B6,"")</f>
        <v/>
      </c>
      <c r="F90" s="22" t="str">
        <f t="shared" si="1"/>
        <v/>
      </c>
      <c r="G90" s="22" t="str">
        <f>IF(A90&lt;&gt;"",F90*B7/100,"")</f>
        <v/>
      </c>
      <c r="H90" s="22" t="str">
        <f>IF(A90&lt;&gt;"",H89+B3*12+D90-G90,"")</f>
        <v/>
      </c>
    </row>
    <row r="91" spans="1:8" x14ac:dyDescent="0.35">
      <c r="A91" s="22" t="str">
        <f>IF(81&lt;=B4,81,"")</f>
        <v/>
      </c>
      <c r="B91" s="22" t="str">
        <f>IF(A91&lt;&gt;"",B3*12,"")</f>
        <v/>
      </c>
      <c r="C91" s="22" t="str">
        <f>IF(A91&lt;&gt;"",H90+B3*12,"")</f>
        <v/>
      </c>
      <c r="D91" s="22" t="str">
        <f>IF(A91&lt;&gt;"",H90*B5/100,"")</f>
        <v/>
      </c>
      <c r="E91" s="22" t="str">
        <f>IF(A91&lt;&gt;"",B6,"")</f>
        <v/>
      </c>
      <c r="F91" s="22" t="str">
        <f t="shared" si="1"/>
        <v/>
      </c>
      <c r="G91" s="22" t="str">
        <f>IF(A91&lt;&gt;"",F91*B7/100,"")</f>
        <v/>
      </c>
      <c r="H91" s="22" t="str">
        <f>IF(A91&lt;&gt;"",H90+B3*12+D91-G91,"")</f>
        <v/>
      </c>
    </row>
    <row r="92" spans="1:8" x14ac:dyDescent="0.35">
      <c r="A92" s="22" t="str">
        <f>IF(82&lt;=B4,82,"")</f>
        <v/>
      </c>
      <c r="B92" s="22" t="str">
        <f>IF(A92&lt;&gt;"",B3*12,"")</f>
        <v/>
      </c>
      <c r="C92" s="22" t="str">
        <f>IF(A92&lt;&gt;"",H91+B3*12,"")</f>
        <v/>
      </c>
      <c r="D92" s="22" t="str">
        <f>IF(A92&lt;&gt;"",H91*B5/100,"")</f>
        <v/>
      </c>
      <c r="E92" s="22" t="str">
        <f>IF(A92&lt;&gt;"",B6,"")</f>
        <v/>
      </c>
      <c r="F92" s="22" t="str">
        <f t="shared" si="1"/>
        <v/>
      </c>
      <c r="G92" s="22" t="str">
        <f>IF(A92&lt;&gt;"",F92*B7/100,"")</f>
        <v/>
      </c>
      <c r="H92" s="22" t="str">
        <f>IF(A92&lt;&gt;"",H91+B3*12+D92-G92,"")</f>
        <v/>
      </c>
    </row>
    <row r="93" spans="1:8" x14ac:dyDescent="0.35">
      <c r="A93" s="22" t="str">
        <f>IF(83&lt;=B4,83,"")</f>
        <v/>
      </c>
      <c r="B93" s="22" t="str">
        <f>IF(A93&lt;&gt;"",B3*12,"")</f>
        <v/>
      </c>
      <c r="C93" s="22" t="str">
        <f>IF(A93&lt;&gt;"",H92+B3*12,"")</f>
        <v/>
      </c>
      <c r="D93" s="22" t="str">
        <f>IF(A93&lt;&gt;"",H92*B5/100,"")</f>
        <v/>
      </c>
      <c r="E93" s="22" t="str">
        <f>IF(A93&lt;&gt;"",B6,"")</f>
        <v/>
      </c>
      <c r="F93" s="22" t="str">
        <f t="shared" si="1"/>
        <v/>
      </c>
      <c r="G93" s="22" t="str">
        <f>IF(A93&lt;&gt;"",F93*B7/100,"")</f>
        <v/>
      </c>
      <c r="H93" s="22" t="str">
        <f>IF(A93&lt;&gt;"",H92+B3*12+D93-G93,"")</f>
        <v/>
      </c>
    </row>
    <row r="94" spans="1:8" x14ac:dyDescent="0.35">
      <c r="A94" s="22" t="str">
        <f>IF(84&lt;=B4,84,"")</f>
        <v/>
      </c>
      <c r="B94" s="22" t="str">
        <f>IF(A94&lt;&gt;"",B3*12,"")</f>
        <v/>
      </c>
      <c r="C94" s="22" t="str">
        <f>IF(A94&lt;&gt;"",H93+B3*12,"")</f>
        <v/>
      </c>
      <c r="D94" s="22" t="str">
        <f>IF(A94&lt;&gt;"",H93*B5/100,"")</f>
        <v/>
      </c>
      <c r="E94" s="22" t="str">
        <f>IF(A94&lt;&gt;"",B6,"")</f>
        <v/>
      </c>
      <c r="F94" s="22" t="str">
        <f t="shared" si="1"/>
        <v/>
      </c>
      <c r="G94" s="22" t="str">
        <f>IF(A94&lt;&gt;"",F94*B7/100,"")</f>
        <v/>
      </c>
      <c r="H94" s="22" t="str">
        <f>IF(A94&lt;&gt;"",H93+B3*12+D94-G94,"")</f>
        <v/>
      </c>
    </row>
    <row r="95" spans="1:8" x14ac:dyDescent="0.35">
      <c r="A95" s="22" t="str">
        <f>IF(85&lt;=B4,85,"")</f>
        <v/>
      </c>
      <c r="B95" s="22" t="str">
        <f>IF(A95&lt;&gt;"",B3*12,"")</f>
        <v/>
      </c>
      <c r="C95" s="22" t="str">
        <f>IF(A95&lt;&gt;"",H94+B3*12,"")</f>
        <v/>
      </c>
      <c r="D95" s="22" t="str">
        <f>IF(A95&lt;&gt;"",H94*B5/100,"")</f>
        <v/>
      </c>
      <c r="E95" s="22" t="str">
        <f>IF(A95&lt;&gt;"",B6,"")</f>
        <v/>
      </c>
      <c r="F95" s="22" t="str">
        <f t="shared" si="1"/>
        <v/>
      </c>
      <c r="G95" s="22" t="str">
        <f>IF(A95&lt;&gt;"",F95*B7/100,"")</f>
        <v/>
      </c>
      <c r="H95" s="22" t="str">
        <f>IF(A95&lt;&gt;"",H94+B3*12+D95-G95,"")</f>
        <v/>
      </c>
    </row>
    <row r="96" spans="1:8" x14ac:dyDescent="0.35">
      <c r="A96" s="22" t="str">
        <f>IF(86&lt;=B4,86,"")</f>
        <v/>
      </c>
      <c r="B96" s="22" t="str">
        <f>IF(A96&lt;&gt;"",B3*12,"")</f>
        <v/>
      </c>
      <c r="C96" s="22" t="str">
        <f>IF(A96&lt;&gt;"",H95+B3*12,"")</f>
        <v/>
      </c>
      <c r="D96" s="22" t="str">
        <f>IF(A96&lt;&gt;"",H95*B5/100,"")</f>
        <v/>
      </c>
      <c r="E96" s="22" t="str">
        <f>IF(A96&lt;&gt;"",B6,"")</f>
        <v/>
      </c>
      <c r="F96" s="22" t="str">
        <f t="shared" si="1"/>
        <v/>
      </c>
      <c r="G96" s="22" t="str">
        <f>IF(A96&lt;&gt;"",F96*B7/100,"")</f>
        <v/>
      </c>
      <c r="H96" s="22" t="str">
        <f>IF(A96&lt;&gt;"",H95+B3*12+D96-G96,"")</f>
        <v/>
      </c>
    </row>
    <row r="97" spans="1:8" x14ac:dyDescent="0.35">
      <c r="A97" s="22" t="str">
        <f>IF(87&lt;=B4,87,"")</f>
        <v/>
      </c>
      <c r="B97" s="22" t="str">
        <f>IF(A97&lt;&gt;"",B3*12,"")</f>
        <v/>
      </c>
      <c r="C97" s="22" t="str">
        <f>IF(A97&lt;&gt;"",H96+B3*12,"")</f>
        <v/>
      </c>
      <c r="D97" s="22" t="str">
        <f>IF(A97&lt;&gt;"",H96*B5/100,"")</f>
        <v/>
      </c>
      <c r="E97" s="22" t="str">
        <f>IF(A97&lt;&gt;"",B6,"")</f>
        <v/>
      </c>
      <c r="F97" s="22" t="str">
        <f t="shared" si="1"/>
        <v/>
      </c>
      <c r="G97" s="22" t="str">
        <f>IF(A97&lt;&gt;"",F97*B7/100,"")</f>
        <v/>
      </c>
      <c r="H97" s="22" t="str">
        <f>IF(A97&lt;&gt;"",H96+B3*12+D97-G97,"")</f>
        <v/>
      </c>
    </row>
    <row r="98" spans="1:8" x14ac:dyDescent="0.35">
      <c r="A98" s="22" t="str">
        <f>IF(88&lt;=B4,88,"")</f>
        <v/>
      </c>
      <c r="B98" s="22" t="str">
        <f>IF(A98&lt;&gt;"",B3*12,"")</f>
        <v/>
      </c>
      <c r="C98" s="22" t="str">
        <f>IF(A98&lt;&gt;"",H97+B3*12,"")</f>
        <v/>
      </c>
      <c r="D98" s="22" t="str">
        <f>IF(A98&lt;&gt;"",H97*B5/100,"")</f>
        <v/>
      </c>
      <c r="E98" s="22" t="str">
        <f>IF(A98&lt;&gt;"",B6,"")</f>
        <v/>
      </c>
      <c r="F98" s="22" t="str">
        <f t="shared" si="1"/>
        <v/>
      </c>
      <c r="G98" s="22" t="str">
        <f>IF(A98&lt;&gt;"",F98*B7/100,"")</f>
        <v/>
      </c>
      <c r="H98" s="22" t="str">
        <f>IF(A98&lt;&gt;"",H97+B3*12+D98-G98,"")</f>
        <v/>
      </c>
    </row>
    <row r="99" spans="1:8" x14ac:dyDescent="0.35">
      <c r="A99" s="22" t="str">
        <f>IF(89&lt;=B4,89,"")</f>
        <v/>
      </c>
      <c r="B99" s="22" t="str">
        <f>IF(A99&lt;&gt;"",B3*12,"")</f>
        <v/>
      </c>
      <c r="C99" s="22" t="str">
        <f>IF(A99&lt;&gt;"",H98+B3*12,"")</f>
        <v/>
      </c>
      <c r="D99" s="22" t="str">
        <f>IF(A99&lt;&gt;"",H98*B5/100,"")</f>
        <v/>
      </c>
      <c r="E99" s="22" t="str">
        <f>IF(A99&lt;&gt;"",B6,"")</f>
        <v/>
      </c>
      <c r="F99" s="22" t="str">
        <f t="shared" si="1"/>
        <v/>
      </c>
      <c r="G99" s="22" t="str">
        <f>IF(A99&lt;&gt;"",F99*B7/100,"")</f>
        <v/>
      </c>
      <c r="H99" s="22" t="str">
        <f>IF(A99&lt;&gt;"",H98+B3*12+D99-G99,"")</f>
        <v/>
      </c>
    </row>
    <row r="100" spans="1:8" x14ac:dyDescent="0.35">
      <c r="A100" s="22" t="str">
        <f>IF(90&lt;=B4,90,"")</f>
        <v/>
      </c>
      <c r="B100" s="22" t="str">
        <f>IF(A100&lt;&gt;"",B3*12,"")</f>
        <v/>
      </c>
      <c r="C100" s="22" t="str">
        <f>IF(A100&lt;&gt;"",H99+B3*12,"")</f>
        <v/>
      </c>
      <c r="D100" s="22" t="str">
        <f>IF(A100&lt;&gt;"",H99*B5/100,"")</f>
        <v/>
      </c>
      <c r="E100" s="22" t="str">
        <f>IF(A100&lt;&gt;"",B6,"")</f>
        <v/>
      </c>
      <c r="F100" s="22" t="str">
        <f t="shared" si="1"/>
        <v/>
      </c>
      <c r="G100" s="22" t="str">
        <f>IF(A100&lt;&gt;"",F100*B7/100,"")</f>
        <v/>
      </c>
      <c r="H100" s="22" t="str">
        <f>IF(A100&lt;&gt;"",H99+B3*12+D100-G100,"")</f>
        <v/>
      </c>
    </row>
    <row r="101" spans="1:8" x14ac:dyDescent="0.35">
      <c r="A101" s="22" t="str">
        <f>IF(91&lt;=B4,91,"")</f>
        <v/>
      </c>
      <c r="B101" s="22" t="str">
        <f>IF(A101&lt;&gt;"",B3*12,"")</f>
        <v/>
      </c>
      <c r="C101" s="22" t="str">
        <f>IF(A101&lt;&gt;"",H100+B3*12,"")</f>
        <v/>
      </c>
      <c r="D101" s="22" t="str">
        <f>IF(A101&lt;&gt;"",H100*B5/100,"")</f>
        <v/>
      </c>
      <c r="E101" s="22" t="str">
        <f>IF(A101&lt;&gt;"",B6,"")</f>
        <v/>
      </c>
      <c r="F101" s="22" t="str">
        <f t="shared" si="1"/>
        <v/>
      </c>
      <c r="G101" s="22" t="str">
        <f>IF(A101&lt;&gt;"",F101*B7/100,"")</f>
        <v/>
      </c>
      <c r="H101" s="22" t="str">
        <f>IF(A101&lt;&gt;"",H100+B3*12+D101-G101,"")</f>
        <v/>
      </c>
    </row>
    <row r="102" spans="1:8" x14ac:dyDescent="0.35">
      <c r="A102" s="22" t="str">
        <f>IF(92&lt;=B4,92,"")</f>
        <v/>
      </c>
      <c r="B102" s="22" t="str">
        <f>IF(A102&lt;&gt;"",B3*12,"")</f>
        <v/>
      </c>
      <c r="C102" s="22" t="str">
        <f>IF(A102&lt;&gt;"",H101+B3*12,"")</f>
        <v/>
      </c>
      <c r="D102" s="22" t="str">
        <f>IF(A102&lt;&gt;"",H101*B5/100,"")</f>
        <v/>
      </c>
      <c r="E102" s="22" t="str">
        <f>IF(A102&lt;&gt;"",B6,"")</f>
        <v/>
      </c>
      <c r="F102" s="22" t="str">
        <f t="shared" si="1"/>
        <v/>
      </c>
      <c r="G102" s="22" t="str">
        <f>IF(A102&lt;&gt;"",F102*B7/100,"")</f>
        <v/>
      </c>
      <c r="H102" s="22" t="str">
        <f>IF(A102&lt;&gt;"",H101+B3*12+D102-G102,"")</f>
        <v/>
      </c>
    </row>
    <row r="103" spans="1:8" x14ac:dyDescent="0.35">
      <c r="A103" s="22" t="str">
        <f>IF(93&lt;=B4,93,"")</f>
        <v/>
      </c>
      <c r="B103" s="22" t="str">
        <f>IF(A103&lt;&gt;"",B3*12,"")</f>
        <v/>
      </c>
      <c r="C103" s="22" t="str">
        <f>IF(A103&lt;&gt;"",H102+B3*12,"")</f>
        <v/>
      </c>
      <c r="D103" s="22" t="str">
        <f>IF(A103&lt;&gt;"",H102*B5/100,"")</f>
        <v/>
      </c>
      <c r="E103" s="22" t="str">
        <f>IF(A103&lt;&gt;"",B6,"")</f>
        <v/>
      </c>
      <c r="F103" s="22" t="str">
        <f t="shared" si="1"/>
        <v/>
      </c>
      <c r="G103" s="22" t="str">
        <f>IF(A103&lt;&gt;"",F103*B7/100,"")</f>
        <v/>
      </c>
      <c r="H103" s="22" t="str">
        <f>IF(A103&lt;&gt;"",H102+B3*12+D103-G103,"")</f>
        <v/>
      </c>
    </row>
    <row r="104" spans="1:8" x14ac:dyDescent="0.35">
      <c r="A104" s="22" t="str">
        <f>IF(94&lt;=B4,94,"")</f>
        <v/>
      </c>
      <c r="B104" s="22" t="str">
        <f>IF(A104&lt;&gt;"",B3*12,"")</f>
        <v/>
      </c>
      <c r="C104" s="22" t="str">
        <f>IF(A104&lt;&gt;"",H103+B3*12,"")</f>
        <v/>
      </c>
      <c r="D104" s="22" t="str">
        <f>IF(A104&lt;&gt;"",H103*B5/100,"")</f>
        <v/>
      </c>
      <c r="E104" s="22" t="str">
        <f>IF(A104&lt;&gt;"",B6,"")</f>
        <v/>
      </c>
      <c r="F104" s="22" t="str">
        <f t="shared" si="1"/>
        <v/>
      </c>
      <c r="G104" s="22" t="str">
        <f>IF(A104&lt;&gt;"",F104*B7/100,"")</f>
        <v/>
      </c>
      <c r="H104" s="22" t="str">
        <f>IF(A104&lt;&gt;"",H103+B3*12+D104-G104,"")</f>
        <v/>
      </c>
    </row>
    <row r="105" spans="1:8" x14ac:dyDescent="0.35">
      <c r="A105" s="22" t="str">
        <f>IF(95&lt;=B4,95,"")</f>
        <v/>
      </c>
      <c r="B105" s="22" t="str">
        <f>IF(A105&lt;&gt;"",B3*12,"")</f>
        <v/>
      </c>
      <c r="C105" s="22" t="str">
        <f>IF(A105&lt;&gt;"",H104+B3*12,"")</f>
        <v/>
      </c>
      <c r="D105" s="22" t="str">
        <f>IF(A105&lt;&gt;"",H104*B5/100,"")</f>
        <v/>
      </c>
      <c r="E105" s="22" t="str">
        <f>IF(A105&lt;&gt;"",B6,"")</f>
        <v/>
      </c>
      <c r="F105" s="22" t="str">
        <f t="shared" si="1"/>
        <v/>
      </c>
      <c r="G105" s="22" t="str">
        <f>IF(A105&lt;&gt;"",F105*B7/100,"")</f>
        <v/>
      </c>
      <c r="H105" s="22" t="str">
        <f>IF(A105&lt;&gt;"",H104+B3*12+D105-G105,"")</f>
        <v/>
      </c>
    </row>
    <row r="106" spans="1:8" x14ac:dyDescent="0.35">
      <c r="A106" s="22" t="str">
        <f>IF(96&lt;=B4,96,"")</f>
        <v/>
      </c>
      <c r="B106" s="22" t="str">
        <f>IF(A106&lt;&gt;"",B3*12,"")</f>
        <v/>
      </c>
      <c r="C106" s="22" t="str">
        <f>IF(A106&lt;&gt;"",H105+B3*12,"")</f>
        <v/>
      </c>
      <c r="D106" s="22" t="str">
        <f>IF(A106&lt;&gt;"",H105*B5/100,"")</f>
        <v/>
      </c>
      <c r="E106" s="22" t="str">
        <f>IF(A106&lt;&gt;"",B6,"")</f>
        <v/>
      </c>
      <c r="F106" s="22" t="str">
        <f t="shared" si="1"/>
        <v/>
      </c>
      <c r="G106" s="22" t="str">
        <f>IF(A106&lt;&gt;"",F106*B7/100,"")</f>
        <v/>
      </c>
      <c r="H106" s="22" t="str">
        <f>IF(A106&lt;&gt;"",H105+B3*12+D106-G106,"")</f>
        <v/>
      </c>
    </row>
    <row r="107" spans="1:8" x14ac:dyDescent="0.35">
      <c r="A107" s="22" t="str">
        <f>IF(97&lt;=B4,97,"")</f>
        <v/>
      </c>
      <c r="B107" s="22" t="str">
        <f>IF(A107&lt;&gt;"",B3*12,"")</f>
        <v/>
      </c>
      <c r="C107" s="22" t="str">
        <f>IF(A107&lt;&gt;"",H106+B3*12,"")</f>
        <v/>
      </c>
      <c r="D107" s="22" t="str">
        <f>IF(A107&lt;&gt;"",H106*B5/100,"")</f>
        <v/>
      </c>
      <c r="E107" s="22" t="str">
        <f>IF(A107&lt;&gt;"",B6,"")</f>
        <v/>
      </c>
      <c r="F107" s="22" t="str">
        <f t="shared" si="1"/>
        <v/>
      </c>
      <c r="G107" s="22" t="str">
        <f>IF(A107&lt;&gt;"",F107*B7/100,"")</f>
        <v/>
      </c>
      <c r="H107" s="22" t="str">
        <f>IF(A107&lt;&gt;"",H106+B3*12+D107-G107,"")</f>
        <v/>
      </c>
    </row>
    <row r="108" spans="1:8" x14ac:dyDescent="0.35">
      <c r="A108" s="22" t="str">
        <f>IF(98&lt;=B4,98,"")</f>
        <v/>
      </c>
      <c r="B108" s="22" t="str">
        <f>IF(A108&lt;&gt;"",B3*12,"")</f>
        <v/>
      </c>
      <c r="C108" s="22" t="str">
        <f>IF(A108&lt;&gt;"",H107+B3*12,"")</f>
        <v/>
      </c>
      <c r="D108" s="22" t="str">
        <f>IF(A108&lt;&gt;"",H107*B5/100,"")</f>
        <v/>
      </c>
      <c r="E108" s="22" t="str">
        <f>IF(A108&lt;&gt;"",B6,"")</f>
        <v/>
      </c>
      <c r="F108" s="22" t="str">
        <f t="shared" si="1"/>
        <v/>
      </c>
      <c r="G108" s="22" t="str">
        <f>IF(A108&lt;&gt;"",F108*B7/100,"")</f>
        <v/>
      </c>
      <c r="H108" s="22" t="str">
        <f>IF(A108&lt;&gt;"",H107+B3*12+D108-G108,"")</f>
        <v/>
      </c>
    </row>
    <row r="109" spans="1:8" x14ac:dyDescent="0.35">
      <c r="A109" s="22" t="str">
        <f>IF(99&lt;=B4,99,"")</f>
        <v/>
      </c>
      <c r="B109" s="22" t="str">
        <f>IF(A109&lt;&gt;"",B3*12,"")</f>
        <v/>
      </c>
      <c r="C109" s="22" t="str">
        <f>IF(A109&lt;&gt;"",H108+B3*12,"")</f>
        <v/>
      </c>
      <c r="D109" s="22" t="str">
        <f>IF(A109&lt;&gt;"",H108*B5/100,"")</f>
        <v/>
      </c>
      <c r="E109" s="22" t="str">
        <f>IF(A109&lt;&gt;"",B6,"")</f>
        <v/>
      </c>
      <c r="F109" s="22" t="str">
        <f t="shared" si="1"/>
        <v/>
      </c>
      <c r="G109" s="22" t="str">
        <f>IF(A109&lt;&gt;"",F109*B7/100,"")</f>
        <v/>
      </c>
      <c r="H109" s="22" t="str">
        <f>IF(A109&lt;&gt;"",H108+B3*12+D109-G109,"")</f>
        <v/>
      </c>
    </row>
    <row r="110" spans="1:8" x14ac:dyDescent="0.35">
      <c r="A110" s="22" t="str">
        <f>IF(100&lt;=B4,100,"")</f>
        <v/>
      </c>
      <c r="B110" s="22" t="str">
        <f>IF(A110&lt;&gt;"",B3*12,"")</f>
        <v/>
      </c>
      <c r="C110" s="22" t="str">
        <f>IF(A110&lt;&gt;"",H109+B3*12,"")</f>
        <v/>
      </c>
      <c r="D110" s="22" t="str">
        <f>IF(A110&lt;&gt;"",H109*B5/100,"")</f>
        <v/>
      </c>
      <c r="E110" s="22" t="str">
        <f>IF(A110&lt;&gt;"",B6,"")</f>
        <v/>
      </c>
      <c r="F110" s="22" t="str">
        <f t="shared" si="1"/>
        <v/>
      </c>
      <c r="G110" s="22" t="str">
        <f>IF(A110&lt;&gt;"",F110*B7/100,"")</f>
        <v/>
      </c>
      <c r="H110" s="22" t="str">
        <f>IF(A110&lt;&gt;"",H109+B3*12+D110-G110,"")</f>
        <v/>
      </c>
    </row>
  </sheetData>
  <sheetProtection algorithmName="SHA-512" hashValue="gJWCBDzwtPOIphxQ//YkOHG1LdWVjLQtMGMPOuhkP2aqIafT/i1LQ/kln3UnMY0qj+iiknoBTWLNhAEsUDSmog==" saltValue="G4np2uoparv9VrdqYawyvA==" spinCount="100000" sheet="1" objects="1" scenarios="1" selectLockedCells="1"/>
  <mergeCells count="1">
    <mergeCell ref="E4:G4"/>
  </mergeCells>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253C-E831-418B-8976-003A6388895E}">
  <dimension ref="A1:H110"/>
  <sheetViews>
    <sheetView workbookViewId="0">
      <selection activeCell="P13" sqref="A1:XFD1048576"/>
    </sheetView>
  </sheetViews>
  <sheetFormatPr baseColWidth="10" defaultColWidth="8.7265625" defaultRowHeight="14.5" x14ac:dyDescent="0.35"/>
  <cols>
    <col min="1" max="1" width="35" style="22" customWidth="1"/>
    <col min="2" max="3" width="23.90625" style="22" customWidth="1"/>
    <col min="4" max="4" width="20.6328125" style="22" customWidth="1"/>
    <col min="5" max="5" width="22.54296875" style="22" customWidth="1"/>
    <col min="6" max="6" width="24.36328125" style="22" customWidth="1"/>
    <col min="7" max="7" width="19.1796875" style="22" customWidth="1"/>
    <col min="8" max="8" width="24.36328125" style="22" customWidth="1"/>
    <col min="9" max="16384" width="8.7265625" style="22"/>
  </cols>
  <sheetData>
    <row r="1" spans="1:8" ht="15.5" x14ac:dyDescent="0.35">
      <c r="A1" s="24" t="s">
        <v>24</v>
      </c>
      <c r="B1" s="25"/>
    </row>
    <row r="2" spans="1:8" ht="15.5" x14ac:dyDescent="0.35">
      <c r="A2" s="25" t="s">
        <v>25</v>
      </c>
      <c r="B2" s="27">
        <f>'Auto-ETF Tabelle'!C9</f>
        <v>1000</v>
      </c>
    </row>
    <row r="3" spans="1:8" ht="15.5" x14ac:dyDescent="0.35">
      <c r="A3" s="25" t="s">
        <v>26</v>
      </c>
      <c r="B3" s="27">
        <f>'Auto-ETF Tabelle'!C13</f>
        <v>358.55343923620779</v>
      </c>
    </row>
    <row r="4" spans="1:8" ht="18.5" x14ac:dyDescent="0.35">
      <c r="A4" s="25" t="s">
        <v>27</v>
      </c>
      <c r="B4" s="25">
        <f>'Auto-ETF Tabelle'!C12</f>
        <v>5</v>
      </c>
      <c r="E4" s="69" t="s">
        <v>40</v>
      </c>
      <c r="F4" s="69"/>
      <c r="G4" s="69"/>
    </row>
    <row r="5" spans="1:8" ht="15.5" x14ac:dyDescent="0.35">
      <c r="A5" s="25" t="s">
        <v>28</v>
      </c>
      <c r="B5" s="26">
        <f>'Auto-ETF Tabelle'!C11*100</f>
        <v>8</v>
      </c>
    </row>
    <row r="6" spans="1:8" ht="15.5" x14ac:dyDescent="0.35">
      <c r="A6" s="25" t="s">
        <v>29</v>
      </c>
      <c r="B6" s="27">
        <f>'Auto-ETF Tabelle'!C15</f>
        <v>1000</v>
      </c>
    </row>
    <row r="7" spans="1:8" ht="15.5" x14ac:dyDescent="0.35">
      <c r="A7" s="25" t="s">
        <v>30</v>
      </c>
      <c r="B7" s="25">
        <f>'Auto-ETF Tabelle'!C16*100</f>
        <v>26.375</v>
      </c>
    </row>
    <row r="8" spans="1:8" ht="15.5" x14ac:dyDescent="0.35">
      <c r="A8" s="24" t="s">
        <v>31</v>
      </c>
      <c r="B8" s="28">
        <f>MAX(H:H)</f>
        <v>26926.389890596241</v>
      </c>
    </row>
    <row r="9" spans="1:8" x14ac:dyDescent="0.35">
      <c r="B9" s="23"/>
    </row>
    <row r="10" spans="1:8" x14ac:dyDescent="0.35">
      <c r="A10" s="22" t="s">
        <v>32</v>
      </c>
      <c r="B10" s="22" t="s">
        <v>33</v>
      </c>
      <c r="C10" s="22" t="s">
        <v>37</v>
      </c>
      <c r="D10" s="22" t="s">
        <v>38</v>
      </c>
      <c r="E10" s="22" t="s">
        <v>34</v>
      </c>
      <c r="F10" s="22" t="s">
        <v>35</v>
      </c>
      <c r="G10" s="22" t="s">
        <v>36</v>
      </c>
      <c r="H10" s="22" t="s">
        <v>39</v>
      </c>
    </row>
    <row r="11" spans="1:8" x14ac:dyDescent="0.35">
      <c r="A11" s="22">
        <f>IF(1&lt;=B4,1,"")</f>
        <v>1</v>
      </c>
      <c r="B11" s="22">
        <f>IF(A11&lt;&gt;"",B3*12,"")</f>
        <v>4302.6412708344933</v>
      </c>
      <c r="C11" s="22">
        <f>IF(A11&lt;&gt;"",B2+B3*12,"")</f>
        <v>5302.6412708344933</v>
      </c>
      <c r="D11" s="22">
        <f>IF(A11&lt;&gt;"",C11*B5/100,"")</f>
        <v>424.21130166675948</v>
      </c>
      <c r="E11" s="22">
        <f>IF(A11&lt;&gt;"",B6,"")</f>
        <v>1000</v>
      </c>
      <c r="F11" s="22">
        <f t="shared" ref="F11:F74" si="0">IF(A11&lt;&gt;"",MAX(0,D11-E11),"")</f>
        <v>0</v>
      </c>
      <c r="G11" s="22">
        <f>IF(A11&lt;&gt;"",F11*B7/100,"")</f>
        <v>0</v>
      </c>
      <c r="H11" s="22">
        <f>IF(A11&lt;&gt;"",C11+D11-G11,"")</f>
        <v>5726.8525725012532</v>
      </c>
    </row>
    <row r="12" spans="1:8" x14ac:dyDescent="0.35">
      <c r="A12" s="22">
        <f>IF(2&lt;=B4,2,"")</f>
        <v>2</v>
      </c>
      <c r="B12" s="22">
        <f>IF(A12&lt;&gt;"",B3*12,"")</f>
        <v>4302.6412708344933</v>
      </c>
      <c r="C12" s="22">
        <f>IF(A12&lt;&gt;"",H11+B3*12,"")</f>
        <v>10029.493843335746</v>
      </c>
      <c r="D12" s="22">
        <f>IF(A12&lt;&gt;"",H11*B5/100,"")</f>
        <v>458.14820580010024</v>
      </c>
      <c r="E12" s="22">
        <f>IF(A12&lt;&gt;"",B6,"")</f>
        <v>1000</v>
      </c>
      <c r="F12" s="22">
        <f t="shared" si="0"/>
        <v>0</v>
      </c>
      <c r="G12" s="22">
        <f>IF(A12&lt;&gt;"",F12*B7/100,"")</f>
        <v>0</v>
      </c>
      <c r="H12" s="22">
        <f>IF(A12&lt;&gt;"",H11+B3*12+D12-G12,"")</f>
        <v>10487.642049135846</v>
      </c>
    </row>
    <row r="13" spans="1:8" x14ac:dyDescent="0.35">
      <c r="A13" s="22">
        <f>IF(3&lt;=B4,3,"")</f>
        <v>3</v>
      </c>
      <c r="B13" s="22">
        <f>IF(A13&lt;&gt;"",B3*12,"")</f>
        <v>4302.6412708344933</v>
      </c>
      <c r="C13" s="22">
        <f>IF(A13&lt;&gt;"",H12+B3*12,"")</f>
        <v>14790.283319970338</v>
      </c>
      <c r="D13" s="22">
        <f>IF(A13&lt;&gt;"",H12*B5/100,"")</f>
        <v>839.01136393086767</v>
      </c>
      <c r="E13" s="22">
        <f>IF(A13&lt;&gt;"",B6,"")</f>
        <v>1000</v>
      </c>
      <c r="F13" s="22">
        <f t="shared" si="0"/>
        <v>0</v>
      </c>
      <c r="G13" s="22">
        <f>IF(A13&lt;&gt;"",F13*B7/100,"")</f>
        <v>0</v>
      </c>
      <c r="H13" s="22">
        <f>IF(A13&lt;&gt;"",H12+B3*12+D13-G13,"")</f>
        <v>15629.294683901206</v>
      </c>
    </row>
    <row r="14" spans="1:8" x14ac:dyDescent="0.35">
      <c r="A14" s="22">
        <f>IF(4&lt;=B4,4,"")</f>
        <v>4</v>
      </c>
      <c r="B14" s="22">
        <f>IF(A14&lt;&gt;"",B3*12,"")</f>
        <v>4302.6412708344933</v>
      </c>
      <c r="C14" s="22">
        <f>IF(A14&lt;&gt;"",H13+B3*12,"")</f>
        <v>19931.935954735698</v>
      </c>
      <c r="D14" s="22">
        <f>IF(A14&lt;&gt;"",H13*B5/100,"")</f>
        <v>1250.3435747120964</v>
      </c>
      <c r="E14" s="22">
        <f>IF(A14&lt;&gt;"",B6,"")</f>
        <v>1000</v>
      </c>
      <c r="F14" s="22">
        <f t="shared" si="0"/>
        <v>250.34357471209637</v>
      </c>
      <c r="G14" s="22">
        <f>IF(A14&lt;&gt;"",F14*B7/100,"")</f>
        <v>66.028117830315409</v>
      </c>
      <c r="H14" s="22">
        <f>IF(A14&lt;&gt;"",H13+B3*12+D14-G14,"")</f>
        <v>21116.251411617479</v>
      </c>
    </row>
    <row r="15" spans="1:8" x14ac:dyDescent="0.35">
      <c r="A15" s="22">
        <f>IF(5&lt;=B4,5,"")</f>
        <v>5</v>
      </c>
      <c r="B15" s="22">
        <f>IF(A15&lt;&gt;"",B3*12,"")</f>
        <v>4302.6412708344933</v>
      </c>
      <c r="C15" s="22">
        <f>IF(A15&lt;&gt;"",H14+B3*12,"")</f>
        <v>25418.892682451973</v>
      </c>
      <c r="D15" s="22">
        <f>IF(A15&lt;&gt;"",H14*B5/100,"")</f>
        <v>1689.3001129293982</v>
      </c>
      <c r="E15" s="22">
        <f>IF(A15&lt;&gt;"",B6,"")</f>
        <v>1000</v>
      </c>
      <c r="F15" s="22">
        <f t="shared" si="0"/>
        <v>689.30011292939821</v>
      </c>
      <c r="G15" s="22">
        <f>IF(A15&lt;&gt;"",F15*B7/100,"")</f>
        <v>181.80290478512879</v>
      </c>
      <c r="H15" s="22">
        <f>IF(A15&lt;&gt;"",H14+B3*12+D15-G15,"")</f>
        <v>26926.389890596241</v>
      </c>
    </row>
    <row r="16" spans="1:8" x14ac:dyDescent="0.35">
      <c r="A16" s="22" t="str">
        <f>IF(6&lt;=B4,6,"")</f>
        <v/>
      </c>
      <c r="B16" s="22" t="str">
        <f>IF(A16&lt;&gt;"",B3*12,"")</f>
        <v/>
      </c>
      <c r="C16" s="22" t="str">
        <f>IF(A16&lt;&gt;"",H15+B3*12,"")</f>
        <v/>
      </c>
      <c r="D16" s="22" t="str">
        <f>IF(A16&lt;&gt;"",H15*B5/100,"")</f>
        <v/>
      </c>
      <c r="E16" s="22" t="str">
        <f>IF(A16&lt;&gt;"",B6,"")</f>
        <v/>
      </c>
      <c r="F16" s="22" t="str">
        <f t="shared" si="0"/>
        <v/>
      </c>
      <c r="G16" s="22" t="str">
        <f>IF(A16&lt;&gt;"",F16*B7/100,"")</f>
        <v/>
      </c>
      <c r="H16" s="22" t="str">
        <f>IF(A16&lt;&gt;"",H15+B3*12+D16-G16,"")</f>
        <v/>
      </c>
    </row>
    <row r="17" spans="1:8" x14ac:dyDescent="0.35">
      <c r="A17" s="22" t="str">
        <f>IF(7&lt;=B4,7,"")</f>
        <v/>
      </c>
      <c r="B17" s="22" t="str">
        <f>IF(A17&lt;&gt;"",B3*12,"")</f>
        <v/>
      </c>
      <c r="C17" s="22" t="str">
        <f>IF(A17&lt;&gt;"",H16+B3*12,"")</f>
        <v/>
      </c>
      <c r="D17" s="22" t="str">
        <f>IF(A17&lt;&gt;"",H16*B5/100,"")</f>
        <v/>
      </c>
      <c r="E17" s="22" t="str">
        <f>IF(A17&lt;&gt;"",B6,"")</f>
        <v/>
      </c>
      <c r="F17" s="22" t="str">
        <f t="shared" si="0"/>
        <v/>
      </c>
      <c r="G17" s="22" t="str">
        <f>IF(A17&lt;&gt;"",F17*B7/100,"")</f>
        <v/>
      </c>
      <c r="H17" s="22" t="str">
        <f>IF(A17&lt;&gt;"",H16+B3*12+D17-G17,"")</f>
        <v/>
      </c>
    </row>
    <row r="18" spans="1:8" x14ac:dyDescent="0.35">
      <c r="A18" s="22" t="str">
        <f>IF(8&lt;=B4,8,"")</f>
        <v/>
      </c>
      <c r="B18" s="22" t="str">
        <f>IF(A18&lt;&gt;"",B3*12,"")</f>
        <v/>
      </c>
      <c r="C18" s="22" t="str">
        <f>IF(A18&lt;&gt;"",H17+B3*12,"")</f>
        <v/>
      </c>
      <c r="D18" s="22" t="str">
        <f>IF(A18&lt;&gt;"",H17*B5/100,"")</f>
        <v/>
      </c>
      <c r="E18" s="22" t="str">
        <f>IF(A18&lt;&gt;"",B6,"")</f>
        <v/>
      </c>
      <c r="F18" s="22" t="str">
        <f t="shared" si="0"/>
        <v/>
      </c>
      <c r="G18" s="22" t="str">
        <f>IF(A18&lt;&gt;"",F18*B7/100,"")</f>
        <v/>
      </c>
      <c r="H18" s="22" t="str">
        <f>IF(A18&lt;&gt;"",H17+B3*12+D18-G18,"")</f>
        <v/>
      </c>
    </row>
    <row r="19" spans="1:8" x14ac:dyDescent="0.35">
      <c r="A19" s="22" t="str">
        <f>IF(9&lt;=B4,9,"")</f>
        <v/>
      </c>
      <c r="B19" s="22" t="str">
        <f>IF(A19&lt;&gt;"",B3*12,"")</f>
        <v/>
      </c>
      <c r="C19" s="22" t="str">
        <f>IF(A19&lt;&gt;"",H18+B3*12,"")</f>
        <v/>
      </c>
      <c r="D19" s="22" t="str">
        <f>IF(A19&lt;&gt;"",H18*B5/100,"")</f>
        <v/>
      </c>
      <c r="E19" s="22" t="str">
        <f>IF(A19&lt;&gt;"",B6,"")</f>
        <v/>
      </c>
      <c r="F19" s="22" t="str">
        <f t="shared" si="0"/>
        <v/>
      </c>
      <c r="G19" s="22" t="str">
        <f>IF(A19&lt;&gt;"",F19*B7/100,"")</f>
        <v/>
      </c>
      <c r="H19" s="22" t="str">
        <f>IF(A19&lt;&gt;"",H18+B3*12+D19-G19,"")</f>
        <v/>
      </c>
    </row>
    <row r="20" spans="1:8" x14ac:dyDescent="0.35">
      <c r="A20" s="22" t="str">
        <f>IF(10&lt;=B4,10,"")</f>
        <v/>
      </c>
      <c r="B20" s="22" t="str">
        <f>IF(A20&lt;&gt;"",B3*12,"")</f>
        <v/>
      </c>
      <c r="C20" s="22" t="str">
        <f>IF(A20&lt;&gt;"",H19+B3*12,"")</f>
        <v/>
      </c>
      <c r="D20" s="22" t="str">
        <f>IF(A20&lt;&gt;"",H19*B5/100,"")</f>
        <v/>
      </c>
      <c r="E20" s="22" t="str">
        <f>IF(A20&lt;&gt;"",B6,"")</f>
        <v/>
      </c>
      <c r="F20" s="22" t="str">
        <f t="shared" si="0"/>
        <v/>
      </c>
      <c r="G20" s="22" t="str">
        <f>IF(A20&lt;&gt;"",F20*B7/100,"")</f>
        <v/>
      </c>
      <c r="H20" s="22" t="str">
        <f>IF(A20&lt;&gt;"",H19+B3*12+D20-G20,"")</f>
        <v/>
      </c>
    </row>
    <row r="21" spans="1:8" x14ac:dyDescent="0.35">
      <c r="A21" s="22" t="str">
        <f>IF(11&lt;=B4,11,"")</f>
        <v/>
      </c>
      <c r="B21" s="22" t="str">
        <f>IF(A21&lt;&gt;"",B3*12,"")</f>
        <v/>
      </c>
      <c r="C21" s="22" t="str">
        <f>IF(A21&lt;&gt;"",H20+B3*12,"")</f>
        <v/>
      </c>
      <c r="D21" s="22" t="str">
        <f>IF(A21&lt;&gt;"",H20*B5/100,"")</f>
        <v/>
      </c>
      <c r="E21" s="22" t="str">
        <f>IF(A21&lt;&gt;"",B6,"")</f>
        <v/>
      </c>
      <c r="F21" s="22" t="str">
        <f t="shared" si="0"/>
        <v/>
      </c>
      <c r="G21" s="22" t="str">
        <f>IF(A21&lt;&gt;"",F21*B7/100,"")</f>
        <v/>
      </c>
      <c r="H21" s="22" t="str">
        <f>IF(A21&lt;&gt;"",H20+B3*12+D21-G21,"")</f>
        <v/>
      </c>
    </row>
    <row r="22" spans="1:8" x14ac:dyDescent="0.35">
      <c r="A22" s="22" t="str">
        <f>IF(12&lt;=B4,12,"")</f>
        <v/>
      </c>
      <c r="B22" s="22" t="str">
        <f>IF(A22&lt;&gt;"",B3*12,"")</f>
        <v/>
      </c>
      <c r="C22" s="22" t="str">
        <f>IF(A22&lt;&gt;"",H21+B3*12,"")</f>
        <v/>
      </c>
      <c r="D22" s="22" t="str">
        <f>IF(A22&lt;&gt;"",H21*B5/100,"")</f>
        <v/>
      </c>
      <c r="E22" s="22" t="str">
        <f>IF(A22&lt;&gt;"",B6,"")</f>
        <v/>
      </c>
      <c r="F22" s="22" t="str">
        <f t="shared" si="0"/>
        <v/>
      </c>
      <c r="G22" s="22" t="str">
        <f>IF(A22&lt;&gt;"",F22*B7/100,"")</f>
        <v/>
      </c>
      <c r="H22" s="22" t="str">
        <f>IF(A22&lt;&gt;"",H21+B3*12+D22-G22,"")</f>
        <v/>
      </c>
    </row>
    <row r="23" spans="1:8" x14ac:dyDescent="0.35">
      <c r="A23" s="22" t="str">
        <f>IF(13&lt;=B4,13,"")</f>
        <v/>
      </c>
      <c r="B23" s="22" t="str">
        <f>IF(A23&lt;&gt;"",B3*12,"")</f>
        <v/>
      </c>
      <c r="C23" s="22" t="str">
        <f>IF(A23&lt;&gt;"",H22+B3*12,"")</f>
        <v/>
      </c>
      <c r="D23" s="22" t="str">
        <f>IF(A23&lt;&gt;"",H22*B5/100,"")</f>
        <v/>
      </c>
      <c r="E23" s="22" t="str">
        <f>IF(A23&lt;&gt;"",B6,"")</f>
        <v/>
      </c>
      <c r="F23" s="22" t="str">
        <f t="shared" si="0"/>
        <v/>
      </c>
      <c r="G23" s="22" t="str">
        <f>IF(A23&lt;&gt;"",F23*B7/100,"")</f>
        <v/>
      </c>
      <c r="H23" s="22" t="str">
        <f>IF(A23&lt;&gt;"",H22+B3*12+D23-G23,"")</f>
        <v/>
      </c>
    </row>
    <row r="24" spans="1:8" x14ac:dyDescent="0.35">
      <c r="A24" s="22" t="str">
        <f>IF(14&lt;=B4,14,"")</f>
        <v/>
      </c>
      <c r="B24" s="22" t="str">
        <f>IF(A24&lt;&gt;"",B3*12,"")</f>
        <v/>
      </c>
      <c r="C24" s="22" t="str">
        <f>IF(A24&lt;&gt;"",H23+B3*12,"")</f>
        <v/>
      </c>
      <c r="D24" s="22" t="str">
        <f>IF(A24&lt;&gt;"",H23*B5/100,"")</f>
        <v/>
      </c>
      <c r="E24" s="22" t="str">
        <f>IF(A24&lt;&gt;"",B6,"")</f>
        <v/>
      </c>
      <c r="F24" s="22" t="str">
        <f t="shared" si="0"/>
        <v/>
      </c>
      <c r="G24" s="22" t="str">
        <f>IF(A24&lt;&gt;"",F24*B7/100,"")</f>
        <v/>
      </c>
      <c r="H24" s="22" t="str">
        <f>IF(A24&lt;&gt;"",H23+B3*12+D24-G24,"")</f>
        <v/>
      </c>
    </row>
    <row r="25" spans="1:8" x14ac:dyDescent="0.35">
      <c r="A25" s="22" t="str">
        <f>IF(15&lt;=B4,15,"")</f>
        <v/>
      </c>
      <c r="B25" s="22" t="str">
        <f>IF(A25&lt;&gt;"",B3*12,"")</f>
        <v/>
      </c>
      <c r="C25" s="22" t="str">
        <f>IF(A25&lt;&gt;"",H24+B3*12,"")</f>
        <v/>
      </c>
      <c r="D25" s="22" t="str">
        <f>IF(A25&lt;&gt;"",H24*B5/100,"")</f>
        <v/>
      </c>
      <c r="E25" s="22" t="str">
        <f>IF(A25&lt;&gt;"",B6,"")</f>
        <v/>
      </c>
      <c r="F25" s="22" t="str">
        <f t="shared" si="0"/>
        <v/>
      </c>
      <c r="G25" s="22" t="str">
        <f>IF(A25&lt;&gt;"",F25*B7/100,"")</f>
        <v/>
      </c>
      <c r="H25" s="22" t="str">
        <f>IF(A25&lt;&gt;"",H24+B3*12+D25-G25,"")</f>
        <v/>
      </c>
    </row>
    <row r="26" spans="1:8" x14ac:dyDescent="0.35">
      <c r="A26" s="22" t="str">
        <f>IF(16&lt;=B4,16,"")</f>
        <v/>
      </c>
      <c r="B26" s="22" t="str">
        <f>IF(A26&lt;&gt;"",B3*12,"")</f>
        <v/>
      </c>
      <c r="C26" s="22" t="str">
        <f>IF(A26&lt;&gt;"",H25+B3*12,"")</f>
        <v/>
      </c>
      <c r="D26" s="22" t="str">
        <f>IF(A26&lt;&gt;"",H25*B5/100,"")</f>
        <v/>
      </c>
      <c r="E26" s="22" t="str">
        <f>IF(A26&lt;&gt;"",B6,"")</f>
        <v/>
      </c>
      <c r="F26" s="22" t="str">
        <f t="shared" si="0"/>
        <v/>
      </c>
      <c r="G26" s="22" t="str">
        <f>IF(A26&lt;&gt;"",F26*B7/100,"")</f>
        <v/>
      </c>
      <c r="H26" s="22" t="str">
        <f>IF(A26&lt;&gt;"",H25+B3*12+D26-G26,"")</f>
        <v/>
      </c>
    </row>
    <row r="27" spans="1:8" x14ac:dyDescent="0.35">
      <c r="A27" s="22" t="str">
        <f>IF(17&lt;=B4,17,"")</f>
        <v/>
      </c>
      <c r="B27" s="22" t="str">
        <f>IF(A27&lt;&gt;"",B3*12,"")</f>
        <v/>
      </c>
      <c r="C27" s="22" t="str">
        <f>IF(A27&lt;&gt;"",H26+B3*12,"")</f>
        <v/>
      </c>
      <c r="D27" s="22" t="str">
        <f>IF(A27&lt;&gt;"",H26*B5/100,"")</f>
        <v/>
      </c>
      <c r="E27" s="22" t="str">
        <f>IF(A27&lt;&gt;"",B6,"")</f>
        <v/>
      </c>
      <c r="F27" s="22" t="str">
        <f t="shared" si="0"/>
        <v/>
      </c>
      <c r="G27" s="22" t="str">
        <f>IF(A27&lt;&gt;"",F27*B7/100,"")</f>
        <v/>
      </c>
      <c r="H27" s="22" t="str">
        <f>IF(A27&lt;&gt;"",H26+B3*12+D27-G27,"")</f>
        <v/>
      </c>
    </row>
    <row r="28" spans="1:8" x14ac:dyDescent="0.35">
      <c r="A28" s="22" t="str">
        <f>IF(18&lt;=B4,18,"")</f>
        <v/>
      </c>
      <c r="B28" s="22" t="str">
        <f>IF(A28&lt;&gt;"",B3*12,"")</f>
        <v/>
      </c>
      <c r="C28" s="22" t="str">
        <f>IF(A28&lt;&gt;"",H27+B3*12,"")</f>
        <v/>
      </c>
      <c r="D28" s="22" t="str">
        <f>IF(A28&lt;&gt;"",H27*B5/100,"")</f>
        <v/>
      </c>
      <c r="E28" s="22" t="str">
        <f>IF(A28&lt;&gt;"",B6,"")</f>
        <v/>
      </c>
      <c r="F28" s="22" t="str">
        <f t="shared" si="0"/>
        <v/>
      </c>
      <c r="G28" s="22" t="str">
        <f>IF(A28&lt;&gt;"",F28*B7/100,"")</f>
        <v/>
      </c>
      <c r="H28" s="22" t="str">
        <f>IF(A28&lt;&gt;"",H27+B3*12+D28-G28,"")</f>
        <v/>
      </c>
    </row>
    <row r="29" spans="1:8" x14ac:dyDescent="0.35">
      <c r="A29" s="22" t="str">
        <f>IF(19&lt;=B4,19,"")</f>
        <v/>
      </c>
      <c r="B29" s="22" t="str">
        <f>IF(A29&lt;&gt;"",B3*12,"")</f>
        <v/>
      </c>
      <c r="C29" s="22" t="str">
        <f>IF(A29&lt;&gt;"",H28+B3*12,"")</f>
        <v/>
      </c>
      <c r="D29" s="22" t="str">
        <f>IF(A29&lt;&gt;"",H28*B5/100,"")</f>
        <v/>
      </c>
      <c r="E29" s="22" t="str">
        <f>IF(A29&lt;&gt;"",B6,"")</f>
        <v/>
      </c>
      <c r="F29" s="22" t="str">
        <f t="shared" si="0"/>
        <v/>
      </c>
      <c r="G29" s="22" t="str">
        <f>IF(A29&lt;&gt;"",F29*B7/100,"")</f>
        <v/>
      </c>
      <c r="H29" s="22" t="str">
        <f>IF(A29&lt;&gt;"",H28+B3*12+D29-G29,"")</f>
        <v/>
      </c>
    </row>
    <row r="30" spans="1:8" x14ac:dyDescent="0.35">
      <c r="A30" s="22" t="str">
        <f>IF(20&lt;=B4,20,"")</f>
        <v/>
      </c>
      <c r="B30" s="22" t="str">
        <f>IF(A30&lt;&gt;"",B3*12,"")</f>
        <v/>
      </c>
      <c r="C30" s="22" t="str">
        <f>IF(A30&lt;&gt;"",H29+B3*12,"")</f>
        <v/>
      </c>
      <c r="D30" s="22" t="str">
        <f>IF(A30&lt;&gt;"",H29*B5/100,"")</f>
        <v/>
      </c>
      <c r="E30" s="22" t="str">
        <f>IF(A30&lt;&gt;"",B6,"")</f>
        <v/>
      </c>
      <c r="F30" s="22" t="str">
        <f t="shared" si="0"/>
        <v/>
      </c>
      <c r="G30" s="22" t="str">
        <f>IF(A30&lt;&gt;"",F30*B7/100,"")</f>
        <v/>
      </c>
      <c r="H30" s="22" t="str">
        <f>IF(A30&lt;&gt;"",H29+B3*12+D30-G30,"")</f>
        <v/>
      </c>
    </row>
    <row r="31" spans="1:8" x14ac:dyDescent="0.35">
      <c r="A31" s="22" t="str">
        <f>IF(21&lt;=B4,21,"")</f>
        <v/>
      </c>
      <c r="B31" s="22" t="str">
        <f>IF(A31&lt;&gt;"",B3*12,"")</f>
        <v/>
      </c>
      <c r="C31" s="22" t="str">
        <f>IF(A31&lt;&gt;"",H30+B3*12,"")</f>
        <v/>
      </c>
      <c r="D31" s="22" t="str">
        <f>IF(A31&lt;&gt;"",H30*B5/100,"")</f>
        <v/>
      </c>
      <c r="E31" s="22" t="str">
        <f>IF(A31&lt;&gt;"",B6,"")</f>
        <v/>
      </c>
      <c r="F31" s="22" t="str">
        <f t="shared" si="0"/>
        <v/>
      </c>
      <c r="G31" s="22" t="str">
        <f>IF(A31&lt;&gt;"",F31*B7/100,"")</f>
        <v/>
      </c>
      <c r="H31" s="22" t="str">
        <f>IF(A31&lt;&gt;"",H30+B3*12+D31-G31,"")</f>
        <v/>
      </c>
    </row>
    <row r="32" spans="1:8" x14ac:dyDescent="0.35">
      <c r="A32" s="22" t="str">
        <f>IF(22&lt;=B4,22,"")</f>
        <v/>
      </c>
      <c r="B32" s="22" t="str">
        <f>IF(A32&lt;&gt;"",B3*12,"")</f>
        <v/>
      </c>
      <c r="C32" s="22" t="str">
        <f>IF(A32&lt;&gt;"",H31+B3*12,"")</f>
        <v/>
      </c>
      <c r="D32" s="22" t="str">
        <f>IF(A32&lt;&gt;"",H31*B5/100,"")</f>
        <v/>
      </c>
      <c r="E32" s="22" t="str">
        <f>IF(A32&lt;&gt;"",B6,"")</f>
        <v/>
      </c>
      <c r="F32" s="22" t="str">
        <f t="shared" si="0"/>
        <v/>
      </c>
      <c r="G32" s="22" t="str">
        <f>IF(A32&lt;&gt;"",F32*B7/100,"")</f>
        <v/>
      </c>
      <c r="H32" s="22" t="str">
        <f>IF(A32&lt;&gt;"",H31+B3*12+D32-G32,"")</f>
        <v/>
      </c>
    </row>
    <row r="33" spans="1:8" x14ac:dyDescent="0.35">
      <c r="A33" s="22" t="str">
        <f>IF(23&lt;=B4,23,"")</f>
        <v/>
      </c>
      <c r="B33" s="22" t="str">
        <f>IF(A33&lt;&gt;"",B3*12,"")</f>
        <v/>
      </c>
      <c r="C33" s="22" t="str">
        <f>IF(A33&lt;&gt;"",H32+B3*12,"")</f>
        <v/>
      </c>
      <c r="D33" s="22" t="str">
        <f>IF(A33&lt;&gt;"",H32*B5/100,"")</f>
        <v/>
      </c>
      <c r="E33" s="22" t="str">
        <f>IF(A33&lt;&gt;"",B6,"")</f>
        <v/>
      </c>
      <c r="F33" s="22" t="str">
        <f t="shared" si="0"/>
        <v/>
      </c>
      <c r="G33" s="22" t="str">
        <f>IF(A33&lt;&gt;"",F33*B7/100,"")</f>
        <v/>
      </c>
      <c r="H33" s="22" t="str">
        <f>IF(A33&lt;&gt;"",H32+B3*12+D33-G33,"")</f>
        <v/>
      </c>
    </row>
    <row r="34" spans="1:8" x14ac:dyDescent="0.35">
      <c r="A34" s="22" t="str">
        <f>IF(24&lt;=B4,24,"")</f>
        <v/>
      </c>
      <c r="B34" s="22" t="str">
        <f>IF(A34&lt;&gt;"",B3*12,"")</f>
        <v/>
      </c>
      <c r="C34" s="22" t="str">
        <f>IF(A34&lt;&gt;"",H33+B3*12,"")</f>
        <v/>
      </c>
      <c r="D34" s="22" t="str">
        <f>IF(A34&lt;&gt;"",H33*B5/100,"")</f>
        <v/>
      </c>
      <c r="E34" s="22" t="str">
        <f>IF(A34&lt;&gt;"",B6,"")</f>
        <v/>
      </c>
      <c r="F34" s="22" t="str">
        <f t="shared" si="0"/>
        <v/>
      </c>
      <c r="G34" s="22" t="str">
        <f>IF(A34&lt;&gt;"",F34*B7/100,"")</f>
        <v/>
      </c>
      <c r="H34" s="22" t="str">
        <f>IF(A34&lt;&gt;"",H33+B3*12+D34-G34,"")</f>
        <v/>
      </c>
    </row>
    <row r="35" spans="1:8" x14ac:dyDescent="0.35">
      <c r="A35" s="22" t="str">
        <f>IF(25&lt;=B4,25,"")</f>
        <v/>
      </c>
      <c r="B35" s="22" t="str">
        <f>IF(A35&lt;&gt;"",B3*12,"")</f>
        <v/>
      </c>
      <c r="C35" s="22" t="str">
        <f>IF(A35&lt;&gt;"",H34+B3*12,"")</f>
        <v/>
      </c>
      <c r="D35" s="22" t="str">
        <f>IF(A35&lt;&gt;"",H34*B5/100,"")</f>
        <v/>
      </c>
      <c r="E35" s="22" t="str">
        <f>IF(A35&lt;&gt;"",B6,"")</f>
        <v/>
      </c>
      <c r="F35" s="22" t="str">
        <f t="shared" si="0"/>
        <v/>
      </c>
      <c r="G35" s="22" t="str">
        <f>IF(A35&lt;&gt;"",F35*B7/100,"")</f>
        <v/>
      </c>
      <c r="H35" s="22" t="str">
        <f>IF(A35&lt;&gt;"",H34+B3*12+D35-G35,"")</f>
        <v/>
      </c>
    </row>
    <row r="36" spans="1:8" x14ac:dyDescent="0.35">
      <c r="A36" s="22" t="str">
        <f>IF(26&lt;=B4,26,"")</f>
        <v/>
      </c>
      <c r="B36" s="22" t="str">
        <f>IF(A36&lt;&gt;"",B3*12,"")</f>
        <v/>
      </c>
      <c r="C36" s="22" t="str">
        <f>IF(A36&lt;&gt;"",H35+B3*12,"")</f>
        <v/>
      </c>
      <c r="D36" s="22" t="str">
        <f>IF(A36&lt;&gt;"",H35*B5/100,"")</f>
        <v/>
      </c>
      <c r="E36" s="22" t="str">
        <f>IF(A36&lt;&gt;"",B6,"")</f>
        <v/>
      </c>
      <c r="F36" s="22" t="str">
        <f t="shared" si="0"/>
        <v/>
      </c>
      <c r="G36" s="22" t="str">
        <f>IF(A36&lt;&gt;"",F36*B7/100,"")</f>
        <v/>
      </c>
      <c r="H36" s="22" t="str">
        <f>IF(A36&lt;&gt;"",H35+B3*12+D36-G36,"")</f>
        <v/>
      </c>
    </row>
    <row r="37" spans="1:8" x14ac:dyDescent="0.35">
      <c r="A37" s="22" t="str">
        <f>IF(27&lt;=B4,27,"")</f>
        <v/>
      </c>
      <c r="B37" s="22" t="str">
        <f>IF(A37&lt;&gt;"",B3*12,"")</f>
        <v/>
      </c>
      <c r="C37" s="22" t="str">
        <f>IF(A37&lt;&gt;"",H36+B3*12,"")</f>
        <v/>
      </c>
      <c r="D37" s="22" t="str">
        <f>IF(A37&lt;&gt;"",H36*B5/100,"")</f>
        <v/>
      </c>
      <c r="E37" s="22" t="str">
        <f>IF(A37&lt;&gt;"",B6,"")</f>
        <v/>
      </c>
      <c r="F37" s="22" t="str">
        <f t="shared" si="0"/>
        <v/>
      </c>
      <c r="G37" s="22" t="str">
        <f>IF(A37&lt;&gt;"",F37*B7/100,"")</f>
        <v/>
      </c>
      <c r="H37" s="22" t="str">
        <f>IF(A37&lt;&gt;"",H36+B3*12+D37-G37,"")</f>
        <v/>
      </c>
    </row>
    <row r="38" spans="1:8" x14ac:dyDescent="0.35">
      <c r="A38" s="22" t="str">
        <f>IF(28&lt;=B4,28,"")</f>
        <v/>
      </c>
      <c r="B38" s="22" t="str">
        <f>IF(A38&lt;&gt;"",B3*12,"")</f>
        <v/>
      </c>
      <c r="C38" s="22" t="str">
        <f>IF(A38&lt;&gt;"",H37+B3*12,"")</f>
        <v/>
      </c>
      <c r="D38" s="22" t="str">
        <f>IF(A38&lt;&gt;"",H37*B5/100,"")</f>
        <v/>
      </c>
      <c r="E38" s="22" t="str">
        <f>IF(A38&lt;&gt;"",B6,"")</f>
        <v/>
      </c>
      <c r="F38" s="22" t="str">
        <f t="shared" si="0"/>
        <v/>
      </c>
      <c r="G38" s="22" t="str">
        <f>IF(A38&lt;&gt;"",F38*B7/100,"")</f>
        <v/>
      </c>
      <c r="H38" s="22" t="str">
        <f>IF(A38&lt;&gt;"",H37+B3*12+D38-G38,"")</f>
        <v/>
      </c>
    </row>
    <row r="39" spans="1:8" x14ac:dyDescent="0.35">
      <c r="A39" s="22" t="str">
        <f>IF(29&lt;=B4,29,"")</f>
        <v/>
      </c>
      <c r="B39" s="22" t="str">
        <f>IF(A39&lt;&gt;"",B3*12,"")</f>
        <v/>
      </c>
      <c r="C39" s="22" t="str">
        <f>IF(A39&lt;&gt;"",H38+B3*12,"")</f>
        <v/>
      </c>
      <c r="D39" s="22" t="str">
        <f>IF(A39&lt;&gt;"",H38*B5/100,"")</f>
        <v/>
      </c>
      <c r="E39" s="22" t="str">
        <f>IF(A39&lt;&gt;"",B6,"")</f>
        <v/>
      </c>
      <c r="F39" s="22" t="str">
        <f t="shared" si="0"/>
        <v/>
      </c>
      <c r="G39" s="22" t="str">
        <f>IF(A39&lt;&gt;"",F39*B7/100,"")</f>
        <v/>
      </c>
      <c r="H39" s="22" t="str">
        <f>IF(A39&lt;&gt;"",H38+B3*12+D39-G39,"")</f>
        <v/>
      </c>
    </row>
    <row r="40" spans="1:8" x14ac:dyDescent="0.35">
      <c r="A40" s="22" t="str">
        <f>IF(30&lt;=B4,30,"")</f>
        <v/>
      </c>
      <c r="B40" s="22" t="str">
        <f>IF(A40&lt;&gt;"",B3*12,"")</f>
        <v/>
      </c>
      <c r="C40" s="22" t="str">
        <f>IF(A40&lt;&gt;"",H39+B3*12,"")</f>
        <v/>
      </c>
      <c r="D40" s="22" t="str">
        <f>IF(A40&lt;&gt;"",H39*B5/100,"")</f>
        <v/>
      </c>
      <c r="E40" s="22" t="str">
        <f>IF(A40&lt;&gt;"",B6,"")</f>
        <v/>
      </c>
      <c r="F40" s="22" t="str">
        <f t="shared" si="0"/>
        <v/>
      </c>
      <c r="G40" s="22" t="str">
        <f>IF(A40&lt;&gt;"",F40*B7/100,"")</f>
        <v/>
      </c>
      <c r="H40" s="22" t="str">
        <f>IF(A40&lt;&gt;"",H39+B3*12+D40-G40,"")</f>
        <v/>
      </c>
    </row>
    <row r="41" spans="1:8" x14ac:dyDescent="0.35">
      <c r="A41" s="22" t="str">
        <f>IF(31&lt;=B4,31,"")</f>
        <v/>
      </c>
      <c r="B41" s="22" t="str">
        <f>IF(A41&lt;&gt;"",B3*12,"")</f>
        <v/>
      </c>
      <c r="C41" s="22" t="str">
        <f>IF(A41&lt;&gt;"",H40+B3*12,"")</f>
        <v/>
      </c>
      <c r="D41" s="22" t="str">
        <f>IF(A41&lt;&gt;"",H40*B5/100,"")</f>
        <v/>
      </c>
      <c r="E41" s="22" t="str">
        <f>IF(A41&lt;&gt;"",B6,"")</f>
        <v/>
      </c>
      <c r="F41" s="22" t="str">
        <f t="shared" si="0"/>
        <v/>
      </c>
      <c r="G41" s="22" t="str">
        <f>IF(A41&lt;&gt;"",F41*B7/100,"")</f>
        <v/>
      </c>
      <c r="H41" s="22" t="str">
        <f>IF(A41&lt;&gt;"",H40+B3*12+D41-G41,"")</f>
        <v/>
      </c>
    </row>
    <row r="42" spans="1:8" x14ac:dyDescent="0.35">
      <c r="A42" s="22" t="str">
        <f>IF(32&lt;=B4,32,"")</f>
        <v/>
      </c>
      <c r="B42" s="22" t="str">
        <f>IF(A42&lt;&gt;"",B3*12,"")</f>
        <v/>
      </c>
      <c r="C42" s="22" t="str">
        <f>IF(A42&lt;&gt;"",H41+B3*12,"")</f>
        <v/>
      </c>
      <c r="D42" s="22" t="str">
        <f>IF(A42&lt;&gt;"",H41*B5/100,"")</f>
        <v/>
      </c>
      <c r="E42" s="22" t="str">
        <f>IF(A42&lt;&gt;"",B6,"")</f>
        <v/>
      </c>
      <c r="F42" s="22" t="str">
        <f t="shared" si="0"/>
        <v/>
      </c>
      <c r="G42" s="22" t="str">
        <f>IF(A42&lt;&gt;"",F42*B7/100,"")</f>
        <v/>
      </c>
      <c r="H42" s="22" t="str">
        <f>IF(A42&lt;&gt;"",H41+B3*12+D42-G42,"")</f>
        <v/>
      </c>
    </row>
    <row r="43" spans="1:8" x14ac:dyDescent="0.35">
      <c r="A43" s="22" t="str">
        <f>IF(33&lt;=B4,33,"")</f>
        <v/>
      </c>
      <c r="B43" s="22" t="str">
        <f>IF(A43&lt;&gt;"",B3*12,"")</f>
        <v/>
      </c>
      <c r="C43" s="22" t="str">
        <f>IF(A43&lt;&gt;"",H42+B3*12,"")</f>
        <v/>
      </c>
      <c r="D43" s="22" t="str">
        <f>IF(A43&lt;&gt;"",H42*B5/100,"")</f>
        <v/>
      </c>
      <c r="E43" s="22" t="str">
        <f>IF(A43&lt;&gt;"",B6,"")</f>
        <v/>
      </c>
      <c r="F43" s="22" t="str">
        <f t="shared" si="0"/>
        <v/>
      </c>
      <c r="G43" s="22" t="str">
        <f>IF(A43&lt;&gt;"",F43*B7/100,"")</f>
        <v/>
      </c>
      <c r="H43" s="22" t="str">
        <f>IF(A43&lt;&gt;"",H42+B3*12+D43-G43,"")</f>
        <v/>
      </c>
    </row>
    <row r="44" spans="1:8" x14ac:dyDescent="0.35">
      <c r="A44" s="22" t="str">
        <f>IF(34&lt;=B4,34,"")</f>
        <v/>
      </c>
      <c r="B44" s="22" t="str">
        <f>IF(A44&lt;&gt;"",B3*12,"")</f>
        <v/>
      </c>
      <c r="C44" s="22" t="str">
        <f>IF(A44&lt;&gt;"",H43+B3*12,"")</f>
        <v/>
      </c>
      <c r="D44" s="22" t="str">
        <f>IF(A44&lt;&gt;"",H43*B5/100,"")</f>
        <v/>
      </c>
      <c r="E44" s="22" t="str">
        <f>IF(A44&lt;&gt;"",B6,"")</f>
        <v/>
      </c>
      <c r="F44" s="22" t="str">
        <f t="shared" si="0"/>
        <v/>
      </c>
      <c r="G44" s="22" t="str">
        <f>IF(A44&lt;&gt;"",F44*B7/100,"")</f>
        <v/>
      </c>
      <c r="H44" s="22" t="str">
        <f>IF(A44&lt;&gt;"",H43+B3*12+D44-G44,"")</f>
        <v/>
      </c>
    </row>
    <row r="45" spans="1:8" x14ac:dyDescent="0.35">
      <c r="A45" s="22" t="str">
        <f>IF(35&lt;=B4,35,"")</f>
        <v/>
      </c>
      <c r="B45" s="22" t="str">
        <f>IF(A45&lt;&gt;"",B3*12,"")</f>
        <v/>
      </c>
      <c r="C45" s="22" t="str">
        <f>IF(A45&lt;&gt;"",H44+B3*12,"")</f>
        <v/>
      </c>
      <c r="D45" s="22" t="str">
        <f>IF(A45&lt;&gt;"",H44*B5/100,"")</f>
        <v/>
      </c>
      <c r="E45" s="22" t="str">
        <f>IF(A45&lt;&gt;"",B6,"")</f>
        <v/>
      </c>
      <c r="F45" s="22" t="str">
        <f t="shared" si="0"/>
        <v/>
      </c>
      <c r="G45" s="22" t="str">
        <f>IF(A45&lt;&gt;"",F45*B7/100,"")</f>
        <v/>
      </c>
      <c r="H45" s="22" t="str">
        <f>IF(A45&lt;&gt;"",H44+B3*12+D45-G45,"")</f>
        <v/>
      </c>
    </row>
    <row r="46" spans="1:8" x14ac:dyDescent="0.35">
      <c r="A46" s="22" t="str">
        <f>IF(36&lt;=B4,36,"")</f>
        <v/>
      </c>
      <c r="B46" s="22" t="str">
        <f>IF(A46&lt;&gt;"",B3*12,"")</f>
        <v/>
      </c>
      <c r="C46" s="22" t="str">
        <f>IF(A46&lt;&gt;"",H45+B3*12,"")</f>
        <v/>
      </c>
      <c r="D46" s="22" t="str">
        <f>IF(A46&lt;&gt;"",H45*B5/100,"")</f>
        <v/>
      </c>
      <c r="E46" s="22" t="str">
        <f>IF(A46&lt;&gt;"",B6,"")</f>
        <v/>
      </c>
      <c r="F46" s="22" t="str">
        <f t="shared" si="0"/>
        <v/>
      </c>
      <c r="G46" s="22" t="str">
        <f>IF(A46&lt;&gt;"",F46*B7/100,"")</f>
        <v/>
      </c>
      <c r="H46" s="22" t="str">
        <f>IF(A46&lt;&gt;"",H45+B3*12+D46-G46,"")</f>
        <v/>
      </c>
    </row>
    <row r="47" spans="1:8" x14ac:dyDescent="0.35">
      <c r="A47" s="22" t="str">
        <f>IF(37&lt;=B4,37,"")</f>
        <v/>
      </c>
      <c r="B47" s="22" t="str">
        <f>IF(A47&lt;&gt;"",B3*12,"")</f>
        <v/>
      </c>
      <c r="C47" s="22" t="str">
        <f>IF(A47&lt;&gt;"",H46+B3*12,"")</f>
        <v/>
      </c>
      <c r="D47" s="22" t="str">
        <f>IF(A47&lt;&gt;"",H46*B5/100,"")</f>
        <v/>
      </c>
      <c r="E47" s="22" t="str">
        <f>IF(A47&lt;&gt;"",B6,"")</f>
        <v/>
      </c>
      <c r="F47" s="22" t="str">
        <f t="shared" si="0"/>
        <v/>
      </c>
      <c r="G47" s="22" t="str">
        <f>IF(A47&lt;&gt;"",F47*B7/100,"")</f>
        <v/>
      </c>
      <c r="H47" s="22" t="str">
        <f>IF(A47&lt;&gt;"",H46+B3*12+D47-G47,"")</f>
        <v/>
      </c>
    </row>
    <row r="48" spans="1:8" x14ac:dyDescent="0.35">
      <c r="A48" s="22" t="str">
        <f>IF(38&lt;=B4,38,"")</f>
        <v/>
      </c>
      <c r="B48" s="22" t="str">
        <f>IF(A48&lt;&gt;"",B3*12,"")</f>
        <v/>
      </c>
      <c r="C48" s="22" t="str">
        <f>IF(A48&lt;&gt;"",H47+B3*12,"")</f>
        <v/>
      </c>
      <c r="D48" s="22" t="str">
        <f>IF(A48&lt;&gt;"",H47*B5/100,"")</f>
        <v/>
      </c>
      <c r="E48" s="22" t="str">
        <f>IF(A48&lt;&gt;"",B6,"")</f>
        <v/>
      </c>
      <c r="F48" s="22" t="str">
        <f t="shared" si="0"/>
        <v/>
      </c>
      <c r="G48" s="22" t="str">
        <f>IF(A48&lt;&gt;"",F48*B7/100,"")</f>
        <v/>
      </c>
      <c r="H48" s="22" t="str">
        <f>IF(A48&lt;&gt;"",H47+B3*12+D48-G48,"")</f>
        <v/>
      </c>
    </row>
    <row r="49" spans="1:8" x14ac:dyDescent="0.35">
      <c r="A49" s="22" t="str">
        <f>IF(39&lt;=B4,39,"")</f>
        <v/>
      </c>
      <c r="B49" s="22" t="str">
        <f>IF(A49&lt;&gt;"",B3*12,"")</f>
        <v/>
      </c>
      <c r="C49" s="22" t="str">
        <f>IF(A49&lt;&gt;"",H48+B3*12,"")</f>
        <v/>
      </c>
      <c r="D49" s="22" t="str">
        <f>IF(A49&lt;&gt;"",H48*B5/100,"")</f>
        <v/>
      </c>
      <c r="E49" s="22" t="str">
        <f>IF(A49&lt;&gt;"",B6,"")</f>
        <v/>
      </c>
      <c r="F49" s="22" t="str">
        <f t="shared" si="0"/>
        <v/>
      </c>
      <c r="G49" s="22" t="str">
        <f>IF(A49&lt;&gt;"",F49*B7/100,"")</f>
        <v/>
      </c>
      <c r="H49" s="22" t="str">
        <f>IF(A49&lt;&gt;"",H48+B3*12+D49-G49,"")</f>
        <v/>
      </c>
    </row>
    <row r="50" spans="1:8" x14ac:dyDescent="0.35">
      <c r="A50" s="22" t="str">
        <f>IF(40&lt;=B4,40,"")</f>
        <v/>
      </c>
      <c r="B50" s="22" t="str">
        <f>IF(A50&lt;&gt;"",B3*12,"")</f>
        <v/>
      </c>
      <c r="C50" s="22" t="str">
        <f>IF(A50&lt;&gt;"",H49+B3*12,"")</f>
        <v/>
      </c>
      <c r="D50" s="22" t="str">
        <f>IF(A50&lt;&gt;"",H49*B5/100,"")</f>
        <v/>
      </c>
      <c r="E50" s="22" t="str">
        <f>IF(A50&lt;&gt;"",B6,"")</f>
        <v/>
      </c>
      <c r="F50" s="22" t="str">
        <f t="shared" si="0"/>
        <v/>
      </c>
      <c r="G50" s="22" t="str">
        <f>IF(A50&lt;&gt;"",F50*B7/100,"")</f>
        <v/>
      </c>
      <c r="H50" s="22" t="str">
        <f>IF(A50&lt;&gt;"",H49+B3*12+D50-G50,"")</f>
        <v/>
      </c>
    </row>
    <row r="51" spans="1:8" x14ac:dyDescent="0.35">
      <c r="A51" s="22" t="str">
        <f>IF(41&lt;=B4,41,"")</f>
        <v/>
      </c>
      <c r="B51" s="22" t="str">
        <f>IF(A51&lt;&gt;"",B3*12,"")</f>
        <v/>
      </c>
      <c r="C51" s="22" t="str">
        <f>IF(A51&lt;&gt;"",H50+B3*12,"")</f>
        <v/>
      </c>
      <c r="D51" s="22" t="str">
        <f>IF(A51&lt;&gt;"",H50*B5/100,"")</f>
        <v/>
      </c>
      <c r="E51" s="22" t="str">
        <f>IF(A51&lt;&gt;"",B6,"")</f>
        <v/>
      </c>
      <c r="F51" s="22" t="str">
        <f t="shared" si="0"/>
        <v/>
      </c>
      <c r="G51" s="22" t="str">
        <f>IF(A51&lt;&gt;"",F51*B7/100,"")</f>
        <v/>
      </c>
      <c r="H51" s="22" t="str">
        <f>IF(A51&lt;&gt;"",H50+B3*12+D51-G51,"")</f>
        <v/>
      </c>
    </row>
    <row r="52" spans="1:8" x14ac:dyDescent="0.35">
      <c r="A52" s="22" t="str">
        <f>IF(42&lt;=B4,42,"")</f>
        <v/>
      </c>
      <c r="B52" s="22" t="str">
        <f>IF(A52&lt;&gt;"",B3*12,"")</f>
        <v/>
      </c>
      <c r="C52" s="22" t="str">
        <f>IF(A52&lt;&gt;"",H51+B3*12,"")</f>
        <v/>
      </c>
      <c r="D52" s="22" t="str">
        <f>IF(A52&lt;&gt;"",H51*B5/100,"")</f>
        <v/>
      </c>
      <c r="E52" s="22" t="str">
        <f>IF(A52&lt;&gt;"",B6,"")</f>
        <v/>
      </c>
      <c r="F52" s="22" t="str">
        <f t="shared" si="0"/>
        <v/>
      </c>
      <c r="G52" s="22" t="str">
        <f>IF(A52&lt;&gt;"",F52*B7/100,"")</f>
        <v/>
      </c>
      <c r="H52" s="22" t="str">
        <f>IF(A52&lt;&gt;"",H51+B3*12+D52-G52,"")</f>
        <v/>
      </c>
    </row>
    <row r="53" spans="1:8" x14ac:dyDescent="0.35">
      <c r="A53" s="22" t="str">
        <f>IF(43&lt;=B4,43,"")</f>
        <v/>
      </c>
      <c r="B53" s="22" t="str">
        <f>IF(A53&lt;&gt;"",B3*12,"")</f>
        <v/>
      </c>
      <c r="C53" s="22" t="str">
        <f>IF(A53&lt;&gt;"",H52+B3*12,"")</f>
        <v/>
      </c>
      <c r="D53" s="22" t="str">
        <f>IF(A53&lt;&gt;"",H52*B5/100,"")</f>
        <v/>
      </c>
      <c r="E53" s="22" t="str">
        <f>IF(A53&lt;&gt;"",B6,"")</f>
        <v/>
      </c>
      <c r="F53" s="22" t="str">
        <f t="shared" si="0"/>
        <v/>
      </c>
      <c r="G53" s="22" t="str">
        <f>IF(A53&lt;&gt;"",F53*B7/100,"")</f>
        <v/>
      </c>
      <c r="H53" s="22" t="str">
        <f>IF(A53&lt;&gt;"",H52+B3*12+D53-G53,"")</f>
        <v/>
      </c>
    </row>
    <row r="54" spans="1:8" x14ac:dyDescent="0.35">
      <c r="A54" s="22" t="str">
        <f>IF(44&lt;=B4,44,"")</f>
        <v/>
      </c>
      <c r="B54" s="22" t="str">
        <f>IF(A54&lt;&gt;"",B3*12,"")</f>
        <v/>
      </c>
      <c r="C54" s="22" t="str">
        <f>IF(A54&lt;&gt;"",H53+B3*12,"")</f>
        <v/>
      </c>
      <c r="D54" s="22" t="str">
        <f>IF(A54&lt;&gt;"",H53*B5/100,"")</f>
        <v/>
      </c>
      <c r="E54" s="22" t="str">
        <f>IF(A54&lt;&gt;"",B6,"")</f>
        <v/>
      </c>
      <c r="F54" s="22" t="str">
        <f t="shared" si="0"/>
        <v/>
      </c>
      <c r="G54" s="22" t="str">
        <f>IF(A54&lt;&gt;"",F54*B7/100,"")</f>
        <v/>
      </c>
      <c r="H54" s="22" t="str">
        <f>IF(A54&lt;&gt;"",H53+B3*12+D54-G54,"")</f>
        <v/>
      </c>
    </row>
    <row r="55" spans="1:8" x14ac:dyDescent="0.35">
      <c r="A55" s="22" t="str">
        <f>IF(45&lt;=B4,45,"")</f>
        <v/>
      </c>
      <c r="B55" s="22" t="str">
        <f>IF(A55&lt;&gt;"",B3*12,"")</f>
        <v/>
      </c>
      <c r="C55" s="22" t="str">
        <f>IF(A55&lt;&gt;"",H54+B3*12,"")</f>
        <v/>
      </c>
      <c r="D55" s="22" t="str">
        <f>IF(A55&lt;&gt;"",H54*B5/100,"")</f>
        <v/>
      </c>
      <c r="E55" s="22" t="str">
        <f>IF(A55&lt;&gt;"",B6,"")</f>
        <v/>
      </c>
      <c r="F55" s="22" t="str">
        <f t="shared" si="0"/>
        <v/>
      </c>
      <c r="G55" s="22" t="str">
        <f>IF(A55&lt;&gt;"",F55*B7/100,"")</f>
        <v/>
      </c>
      <c r="H55" s="22" t="str">
        <f>IF(A55&lt;&gt;"",H54+B3*12+D55-G55,"")</f>
        <v/>
      </c>
    </row>
    <row r="56" spans="1:8" x14ac:dyDescent="0.35">
      <c r="A56" s="22" t="str">
        <f>IF(46&lt;=B4,46,"")</f>
        <v/>
      </c>
      <c r="B56" s="22" t="str">
        <f>IF(A56&lt;&gt;"",B3*12,"")</f>
        <v/>
      </c>
      <c r="C56" s="22" t="str">
        <f>IF(A56&lt;&gt;"",H55+B3*12,"")</f>
        <v/>
      </c>
      <c r="D56" s="22" t="str">
        <f>IF(A56&lt;&gt;"",H55*B5/100,"")</f>
        <v/>
      </c>
      <c r="E56" s="22" t="str">
        <f>IF(A56&lt;&gt;"",B6,"")</f>
        <v/>
      </c>
      <c r="F56" s="22" t="str">
        <f t="shared" si="0"/>
        <v/>
      </c>
      <c r="G56" s="22" t="str">
        <f>IF(A56&lt;&gt;"",F56*B7/100,"")</f>
        <v/>
      </c>
      <c r="H56" s="22" t="str">
        <f>IF(A56&lt;&gt;"",H55+B3*12+D56-G56,"")</f>
        <v/>
      </c>
    </row>
    <row r="57" spans="1:8" x14ac:dyDescent="0.35">
      <c r="A57" s="22" t="str">
        <f>IF(47&lt;=B4,47,"")</f>
        <v/>
      </c>
      <c r="B57" s="22" t="str">
        <f>IF(A57&lt;&gt;"",B3*12,"")</f>
        <v/>
      </c>
      <c r="C57" s="22" t="str">
        <f>IF(A57&lt;&gt;"",H56+B3*12,"")</f>
        <v/>
      </c>
      <c r="D57" s="22" t="str">
        <f>IF(A57&lt;&gt;"",H56*B5/100,"")</f>
        <v/>
      </c>
      <c r="E57" s="22" t="str">
        <f>IF(A57&lt;&gt;"",B6,"")</f>
        <v/>
      </c>
      <c r="F57" s="22" t="str">
        <f t="shared" si="0"/>
        <v/>
      </c>
      <c r="G57" s="22" t="str">
        <f>IF(A57&lt;&gt;"",F57*B7/100,"")</f>
        <v/>
      </c>
      <c r="H57" s="22" t="str">
        <f>IF(A57&lt;&gt;"",H56+B3*12+D57-G57,"")</f>
        <v/>
      </c>
    </row>
    <row r="58" spans="1:8" x14ac:dyDescent="0.35">
      <c r="A58" s="22" t="str">
        <f>IF(48&lt;=B4,48,"")</f>
        <v/>
      </c>
      <c r="B58" s="22" t="str">
        <f>IF(A58&lt;&gt;"",B3*12,"")</f>
        <v/>
      </c>
      <c r="C58" s="22" t="str">
        <f>IF(A58&lt;&gt;"",H57+B3*12,"")</f>
        <v/>
      </c>
      <c r="D58" s="22" t="str">
        <f>IF(A58&lt;&gt;"",H57*B5/100,"")</f>
        <v/>
      </c>
      <c r="E58" s="22" t="str">
        <f>IF(A58&lt;&gt;"",B6,"")</f>
        <v/>
      </c>
      <c r="F58" s="22" t="str">
        <f t="shared" si="0"/>
        <v/>
      </c>
      <c r="G58" s="22" t="str">
        <f>IF(A58&lt;&gt;"",F58*B7/100,"")</f>
        <v/>
      </c>
      <c r="H58" s="22" t="str">
        <f>IF(A58&lt;&gt;"",H57+B3*12+D58-G58,"")</f>
        <v/>
      </c>
    </row>
    <row r="59" spans="1:8" x14ac:dyDescent="0.35">
      <c r="A59" s="22" t="str">
        <f>IF(49&lt;=B4,49,"")</f>
        <v/>
      </c>
      <c r="B59" s="22" t="str">
        <f>IF(A59&lt;&gt;"",B3*12,"")</f>
        <v/>
      </c>
      <c r="C59" s="22" t="str">
        <f>IF(A59&lt;&gt;"",H58+B3*12,"")</f>
        <v/>
      </c>
      <c r="D59" s="22" t="str">
        <f>IF(A59&lt;&gt;"",H58*B5/100,"")</f>
        <v/>
      </c>
      <c r="E59" s="22" t="str">
        <f>IF(A59&lt;&gt;"",B6,"")</f>
        <v/>
      </c>
      <c r="F59" s="22" t="str">
        <f t="shared" si="0"/>
        <v/>
      </c>
      <c r="G59" s="22" t="str">
        <f>IF(A59&lt;&gt;"",F59*B7/100,"")</f>
        <v/>
      </c>
      <c r="H59" s="22" t="str">
        <f>IF(A59&lt;&gt;"",H58+B3*12+D59-G59,"")</f>
        <v/>
      </c>
    </row>
    <row r="60" spans="1:8" x14ac:dyDescent="0.35">
      <c r="A60" s="22" t="str">
        <f>IF(50&lt;=B4,50,"")</f>
        <v/>
      </c>
      <c r="B60" s="22" t="str">
        <f>IF(A60&lt;&gt;"",B3*12,"")</f>
        <v/>
      </c>
      <c r="C60" s="22" t="str">
        <f>IF(A60&lt;&gt;"",H59+B3*12,"")</f>
        <v/>
      </c>
      <c r="D60" s="22" t="str">
        <f>IF(A60&lt;&gt;"",H59*B5/100,"")</f>
        <v/>
      </c>
      <c r="E60" s="22" t="str">
        <f>IF(A60&lt;&gt;"",B6,"")</f>
        <v/>
      </c>
      <c r="F60" s="22" t="str">
        <f t="shared" si="0"/>
        <v/>
      </c>
      <c r="G60" s="22" t="str">
        <f>IF(A60&lt;&gt;"",F60*B7/100,"")</f>
        <v/>
      </c>
      <c r="H60" s="22" t="str">
        <f>IF(A60&lt;&gt;"",H59+B3*12+D60-G60,"")</f>
        <v/>
      </c>
    </row>
    <row r="61" spans="1:8" x14ac:dyDescent="0.35">
      <c r="A61" s="22" t="str">
        <f>IF(51&lt;=B4,51,"")</f>
        <v/>
      </c>
      <c r="B61" s="22" t="str">
        <f>IF(A61&lt;&gt;"",B3*12,"")</f>
        <v/>
      </c>
      <c r="C61" s="22" t="str">
        <f>IF(A61&lt;&gt;"",H60+B3*12,"")</f>
        <v/>
      </c>
      <c r="D61" s="22" t="str">
        <f>IF(A61&lt;&gt;"",H60*B5/100,"")</f>
        <v/>
      </c>
      <c r="E61" s="22" t="str">
        <f>IF(A61&lt;&gt;"",B6,"")</f>
        <v/>
      </c>
      <c r="F61" s="22" t="str">
        <f t="shared" si="0"/>
        <v/>
      </c>
      <c r="G61" s="22" t="str">
        <f>IF(A61&lt;&gt;"",F61*B7/100,"")</f>
        <v/>
      </c>
      <c r="H61" s="22" t="str">
        <f>IF(A61&lt;&gt;"",H60+B3*12+D61-G61,"")</f>
        <v/>
      </c>
    </row>
    <row r="62" spans="1:8" x14ac:dyDescent="0.35">
      <c r="A62" s="22" t="str">
        <f>IF(52&lt;=B4,52,"")</f>
        <v/>
      </c>
      <c r="B62" s="22" t="str">
        <f>IF(A62&lt;&gt;"",B3*12,"")</f>
        <v/>
      </c>
      <c r="C62" s="22" t="str">
        <f>IF(A62&lt;&gt;"",H61+B3*12,"")</f>
        <v/>
      </c>
      <c r="D62" s="22" t="str">
        <f>IF(A62&lt;&gt;"",H61*B5/100,"")</f>
        <v/>
      </c>
      <c r="E62" s="22" t="str">
        <f>IF(A62&lt;&gt;"",B6,"")</f>
        <v/>
      </c>
      <c r="F62" s="22" t="str">
        <f t="shared" si="0"/>
        <v/>
      </c>
      <c r="G62" s="22" t="str">
        <f>IF(A62&lt;&gt;"",F62*B7/100,"")</f>
        <v/>
      </c>
      <c r="H62" s="22" t="str">
        <f>IF(A62&lt;&gt;"",H61+B3*12+D62-G62,"")</f>
        <v/>
      </c>
    </row>
    <row r="63" spans="1:8" x14ac:dyDescent="0.35">
      <c r="A63" s="22" t="str">
        <f>IF(53&lt;=B4,53,"")</f>
        <v/>
      </c>
      <c r="B63" s="22" t="str">
        <f>IF(A63&lt;&gt;"",B3*12,"")</f>
        <v/>
      </c>
      <c r="C63" s="22" t="str">
        <f>IF(A63&lt;&gt;"",H62+B3*12,"")</f>
        <v/>
      </c>
      <c r="D63" s="22" t="str">
        <f>IF(A63&lt;&gt;"",H62*B5/100,"")</f>
        <v/>
      </c>
      <c r="E63" s="22" t="str">
        <f>IF(A63&lt;&gt;"",B6,"")</f>
        <v/>
      </c>
      <c r="F63" s="22" t="str">
        <f t="shared" si="0"/>
        <v/>
      </c>
      <c r="G63" s="22" t="str">
        <f>IF(A63&lt;&gt;"",F63*B7/100,"")</f>
        <v/>
      </c>
      <c r="H63" s="22" t="str">
        <f>IF(A63&lt;&gt;"",H62+B3*12+D63-G63,"")</f>
        <v/>
      </c>
    </row>
    <row r="64" spans="1:8" x14ac:dyDescent="0.35">
      <c r="A64" s="22" t="str">
        <f>IF(54&lt;=B4,54,"")</f>
        <v/>
      </c>
      <c r="B64" s="22" t="str">
        <f>IF(A64&lt;&gt;"",B3*12,"")</f>
        <v/>
      </c>
      <c r="C64" s="22" t="str">
        <f>IF(A64&lt;&gt;"",H63+B3*12,"")</f>
        <v/>
      </c>
      <c r="D64" s="22" t="str">
        <f>IF(A64&lt;&gt;"",H63*B5/100,"")</f>
        <v/>
      </c>
      <c r="E64" s="22" t="str">
        <f>IF(A64&lt;&gt;"",B6,"")</f>
        <v/>
      </c>
      <c r="F64" s="22" t="str">
        <f t="shared" si="0"/>
        <v/>
      </c>
      <c r="G64" s="22" t="str">
        <f>IF(A64&lt;&gt;"",F64*B7/100,"")</f>
        <v/>
      </c>
      <c r="H64" s="22" t="str">
        <f>IF(A64&lt;&gt;"",H63+B3*12+D64-G64,"")</f>
        <v/>
      </c>
    </row>
    <row r="65" spans="1:8" x14ac:dyDescent="0.35">
      <c r="A65" s="22" t="str">
        <f>IF(55&lt;=B4,55,"")</f>
        <v/>
      </c>
      <c r="B65" s="22" t="str">
        <f>IF(A65&lt;&gt;"",B3*12,"")</f>
        <v/>
      </c>
      <c r="C65" s="22" t="str">
        <f>IF(A65&lt;&gt;"",H64+B3*12,"")</f>
        <v/>
      </c>
      <c r="D65" s="22" t="str">
        <f>IF(A65&lt;&gt;"",H64*B5/100,"")</f>
        <v/>
      </c>
      <c r="E65" s="22" t="str">
        <f>IF(A65&lt;&gt;"",B6,"")</f>
        <v/>
      </c>
      <c r="F65" s="22" t="str">
        <f t="shared" si="0"/>
        <v/>
      </c>
      <c r="G65" s="22" t="str">
        <f>IF(A65&lt;&gt;"",F65*B7/100,"")</f>
        <v/>
      </c>
      <c r="H65" s="22" t="str">
        <f>IF(A65&lt;&gt;"",H64+B3*12+D65-G65,"")</f>
        <v/>
      </c>
    </row>
    <row r="66" spans="1:8" x14ac:dyDescent="0.35">
      <c r="A66" s="22" t="str">
        <f>IF(56&lt;=B4,56,"")</f>
        <v/>
      </c>
      <c r="B66" s="22" t="str">
        <f>IF(A66&lt;&gt;"",B3*12,"")</f>
        <v/>
      </c>
      <c r="C66" s="22" t="str">
        <f>IF(A66&lt;&gt;"",H65+B3*12,"")</f>
        <v/>
      </c>
      <c r="D66" s="22" t="str">
        <f>IF(A66&lt;&gt;"",H65*B5/100,"")</f>
        <v/>
      </c>
      <c r="E66" s="22" t="str">
        <f>IF(A66&lt;&gt;"",B6,"")</f>
        <v/>
      </c>
      <c r="F66" s="22" t="str">
        <f t="shared" si="0"/>
        <v/>
      </c>
      <c r="G66" s="22" t="str">
        <f>IF(A66&lt;&gt;"",F66*B7/100,"")</f>
        <v/>
      </c>
      <c r="H66" s="22" t="str">
        <f>IF(A66&lt;&gt;"",H65+B3*12+D66-G66,"")</f>
        <v/>
      </c>
    </row>
    <row r="67" spans="1:8" x14ac:dyDescent="0.35">
      <c r="A67" s="22" t="str">
        <f>IF(57&lt;=B4,57,"")</f>
        <v/>
      </c>
      <c r="B67" s="22" t="str">
        <f>IF(A67&lt;&gt;"",B3*12,"")</f>
        <v/>
      </c>
      <c r="C67" s="22" t="str">
        <f>IF(A67&lt;&gt;"",H66+B3*12,"")</f>
        <v/>
      </c>
      <c r="D67" s="22" t="str">
        <f>IF(A67&lt;&gt;"",H66*B5/100,"")</f>
        <v/>
      </c>
      <c r="E67" s="22" t="str">
        <f>IF(A67&lt;&gt;"",B6,"")</f>
        <v/>
      </c>
      <c r="F67" s="22" t="str">
        <f t="shared" si="0"/>
        <v/>
      </c>
      <c r="G67" s="22" t="str">
        <f>IF(A67&lt;&gt;"",F67*B7/100,"")</f>
        <v/>
      </c>
      <c r="H67" s="22" t="str">
        <f>IF(A67&lt;&gt;"",H66+B3*12+D67-G67,"")</f>
        <v/>
      </c>
    </row>
    <row r="68" spans="1:8" x14ac:dyDescent="0.35">
      <c r="A68" s="22" t="str">
        <f>IF(58&lt;=B4,58,"")</f>
        <v/>
      </c>
      <c r="B68" s="22" t="str">
        <f>IF(A68&lt;&gt;"",B3*12,"")</f>
        <v/>
      </c>
      <c r="C68" s="22" t="str">
        <f>IF(A68&lt;&gt;"",H67+B3*12,"")</f>
        <v/>
      </c>
      <c r="D68" s="22" t="str">
        <f>IF(A68&lt;&gt;"",H67*B5/100,"")</f>
        <v/>
      </c>
      <c r="E68" s="22" t="str">
        <f>IF(A68&lt;&gt;"",B6,"")</f>
        <v/>
      </c>
      <c r="F68" s="22" t="str">
        <f t="shared" si="0"/>
        <v/>
      </c>
      <c r="G68" s="22" t="str">
        <f>IF(A68&lt;&gt;"",F68*B7/100,"")</f>
        <v/>
      </c>
      <c r="H68" s="22" t="str">
        <f>IF(A68&lt;&gt;"",H67+B3*12+D68-G68,"")</f>
        <v/>
      </c>
    </row>
    <row r="69" spans="1:8" x14ac:dyDescent="0.35">
      <c r="A69" s="22" t="str">
        <f>IF(59&lt;=B4,59,"")</f>
        <v/>
      </c>
      <c r="B69" s="22" t="str">
        <f>IF(A69&lt;&gt;"",B3*12,"")</f>
        <v/>
      </c>
      <c r="C69" s="22" t="str">
        <f>IF(A69&lt;&gt;"",H68+B3*12,"")</f>
        <v/>
      </c>
      <c r="D69" s="22" t="str">
        <f>IF(A69&lt;&gt;"",H68*B5/100,"")</f>
        <v/>
      </c>
      <c r="E69" s="22" t="str">
        <f>IF(A69&lt;&gt;"",B6,"")</f>
        <v/>
      </c>
      <c r="F69" s="22" t="str">
        <f t="shared" si="0"/>
        <v/>
      </c>
      <c r="G69" s="22" t="str">
        <f>IF(A69&lt;&gt;"",F69*B7/100,"")</f>
        <v/>
      </c>
      <c r="H69" s="22" t="str">
        <f>IF(A69&lt;&gt;"",H68+B3*12+D69-G69,"")</f>
        <v/>
      </c>
    </row>
    <row r="70" spans="1:8" x14ac:dyDescent="0.35">
      <c r="A70" s="22" t="str">
        <f>IF(60&lt;=B4,60,"")</f>
        <v/>
      </c>
      <c r="B70" s="22" t="str">
        <f>IF(A70&lt;&gt;"",B3*12,"")</f>
        <v/>
      </c>
      <c r="C70" s="22" t="str">
        <f>IF(A70&lt;&gt;"",H69+B3*12,"")</f>
        <v/>
      </c>
      <c r="D70" s="22" t="str">
        <f>IF(A70&lt;&gt;"",H69*B5/100,"")</f>
        <v/>
      </c>
      <c r="E70" s="22" t="str">
        <f>IF(A70&lt;&gt;"",B6,"")</f>
        <v/>
      </c>
      <c r="F70" s="22" t="str">
        <f t="shared" si="0"/>
        <v/>
      </c>
      <c r="G70" s="22" t="str">
        <f>IF(A70&lt;&gt;"",F70*B7/100,"")</f>
        <v/>
      </c>
      <c r="H70" s="22" t="str">
        <f>IF(A70&lt;&gt;"",H69+B3*12+D70-G70,"")</f>
        <v/>
      </c>
    </row>
    <row r="71" spans="1:8" x14ac:dyDescent="0.35">
      <c r="A71" s="22" t="str">
        <f>IF(61&lt;=B4,61,"")</f>
        <v/>
      </c>
      <c r="B71" s="22" t="str">
        <f>IF(A71&lt;&gt;"",B3*12,"")</f>
        <v/>
      </c>
      <c r="C71" s="22" t="str">
        <f>IF(A71&lt;&gt;"",H70+B3*12,"")</f>
        <v/>
      </c>
      <c r="D71" s="22" t="str">
        <f>IF(A71&lt;&gt;"",H70*B5/100,"")</f>
        <v/>
      </c>
      <c r="E71" s="22" t="str">
        <f>IF(A71&lt;&gt;"",B6,"")</f>
        <v/>
      </c>
      <c r="F71" s="22" t="str">
        <f t="shared" si="0"/>
        <v/>
      </c>
      <c r="G71" s="22" t="str">
        <f>IF(A71&lt;&gt;"",F71*B7/100,"")</f>
        <v/>
      </c>
      <c r="H71" s="22" t="str">
        <f>IF(A71&lt;&gt;"",H70+B3*12+D71-G71,"")</f>
        <v/>
      </c>
    </row>
    <row r="72" spans="1:8" x14ac:dyDescent="0.35">
      <c r="A72" s="22" t="str">
        <f>IF(62&lt;=B4,62,"")</f>
        <v/>
      </c>
      <c r="B72" s="22" t="str">
        <f>IF(A72&lt;&gt;"",B3*12,"")</f>
        <v/>
      </c>
      <c r="C72" s="22" t="str">
        <f>IF(A72&lt;&gt;"",H71+B3*12,"")</f>
        <v/>
      </c>
      <c r="D72" s="22" t="str">
        <f>IF(A72&lt;&gt;"",H71*B5/100,"")</f>
        <v/>
      </c>
      <c r="E72" s="22" t="str">
        <f>IF(A72&lt;&gt;"",B6,"")</f>
        <v/>
      </c>
      <c r="F72" s="22" t="str">
        <f t="shared" si="0"/>
        <v/>
      </c>
      <c r="G72" s="22" t="str">
        <f>IF(A72&lt;&gt;"",F72*B7/100,"")</f>
        <v/>
      </c>
      <c r="H72" s="22" t="str">
        <f>IF(A72&lt;&gt;"",H71+B3*12+D72-G72,"")</f>
        <v/>
      </c>
    </row>
    <row r="73" spans="1:8" x14ac:dyDescent="0.35">
      <c r="A73" s="22" t="str">
        <f>IF(63&lt;=B4,63,"")</f>
        <v/>
      </c>
      <c r="B73" s="22" t="str">
        <f>IF(A73&lt;&gt;"",B3*12,"")</f>
        <v/>
      </c>
      <c r="C73" s="22" t="str">
        <f>IF(A73&lt;&gt;"",H72+B3*12,"")</f>
        <v/>
      </c>
      <c r="D73" s="22" t="str">
        <f>IF(A73&lt;&gt;"",H72*B5/100,"")</f>
        <v/>
      </c>
      <c r="E73" s="22" t="str">
        <f>IF(A73&lt;&gt;"",B6,"")</f>
        <v/>
      </c>
      <c r="F73" s="22" t="str">
        <f t="shared" si="0"/>
        <v/>
      </c>
      <c r="G73" s="22" t="str">
        <f>IF(A73&lt;&gt;"",F73*B7/100,"")</f>
        <v/>
      </c>
      <c r="H73" s="22" t="str">
        <f>IF(A73&lt;&gt;"",H72+B3*12+D73-G73,"")</f>
        <v/>
      </c>
    </row>
    <row r="74" spans="1:8" x14ac:dyDescent="0.35">
      <c r="A74" s="22" t="str">
        <f>IF(64&lt;=B4,64,"")</f>
        <v/>
      </c>
      <c r="B74" s="22" t="str">
        <f>IF(A74&lt;&gt;"",B3*12,"")</f>
        <v/>
      </c>
      <c r="C74" s="22" t="str">
        <f>IF(A74&lt;&gt;"",H73+B3*12,"")</f>
        <v/>
      </c>
      <c r="D74" s="22" t="str">
        <f>IF(A74&lt;&gt;"",H73*B5/100,"")</f>
        <v/>
      </c>
      <c r="E74" s="22" t="str">
        <f>IF(A74&lt;&gt;"",B6,"")</f>
        <v/>
      </c>
      <c r="F74" s="22" t="str">
        <f t="shared" si="0"/>
        <v/>
      </c>
      <c r="G74" s="22" t="str">
        <f>IF(A74&lt;&gt;"",F74*B7/100,"")</f>
        <v/>
      </c>
      <c r="H74" s="22" t="str">
        <f>IF(A74&lt;&gt;"",H73+B3*12+D74-G74,"")</f>
        <v/>
      </c>
    </row>
    <row r="75" spans="1:8" x14ac:dyDescent="0.35">
      <c r="A75" s="22" t="str">
        <f>IF(65&lt;=B4,65,"")</f>
        <v/>
      </c>
      <c r="B75" s="22" t="str">
        <f>IF(A75&lt;&gt;"",B3*12,"")</f>
        <v/>
      </c>
      <c r="C75" s="22" t="str">
        <f>IF(A75&lt;&gt;"",H74+B3*12,"")</f>
        <v/>
      </c>
      <c r="D75" s="22" t="str">
        <f>IF(A75&lt;&gt;"",H74*B5/100,"")</f>
        <v/>
      </c>
      <c r="E75" s="22" t="str">
        <f>IF(A75&lt;&gt;"",B6,"")</f>
        <v/>
      </c>
      <c r="F75" s="22" t="str">
        <f t="shared" ref="F75:F110" si="1">IF(A75&lt;&gt;"",MAX(0,D75-E75),"")</f>
        <v/>
      </c>
      <c r="G75" s="22" t="str">
        <f>IF(A75&lt;&gt;"",F75*B7/100,"")</f>
        <v/>
      </c>
      <c r="H75" s="22" t="str">
        <f>IF(A75&lt;&gt;"",H74+B3*12+D75-G75,"")</f>
        <v/>
      </c>
    </row>
    <row r="76" spans="1:8" x14ac:dyDescent="0.35">
      <c r="A76" s="22" t="str">
        <f>IF(66&lt;=B4,66,"")</f>
        <v/>
      </c>
      <c r="B76" s="22" t="str">
        <f>IF(A76&lt;&gt;"",B3*12,"")</f>
        <v/>
      </c>
      <c r="C76" s="22" t="str">
        <f>IF(A76&lt;&gt;"",H75+B3*12,"")</f>
        <v/>
      </c>
      <c r="D76" s="22" t="str">
        <f>IF(A76&lt;&gt;"",H75*B5/100,"")</f>
        <v/>
      </c>
      <c r="E76" s="22" t="str">
        <f>IF(A76&lt;&gt;"",B6,"")</f>
        <v/>
      </c>
      <c r="F76" s="22" t="str">
        <f t="shared" si="1"/>
        <v/>
      </c>
      <c r="G76" s="22" t="str">
        <f>IF(A76&lt;&gt;"",F76*B7/100,"")</f>
        <v/>
      </c>
      <c r="H76" s="22" t="str">
        <f>IF(A76&lt;&gt;"",H75+B3*12+D76-G76,"")</f>
        <v/>
      </c>
    </row>
    <row r="77" spans="1:8" x14ac:dyDescent="0.35">
      <c r="A77" s="22" t="str">
        <f>IF(67&lt;=B4,67,"")</f>
        <v/>
      </c>
      <c r="B77" s="22" t="str">
        <f>IF(A77&lt;&gt;"",B3*12,"")</f>
        <v/>
      </c>
      <c r="C77" s="22" t="str">
        <f>IF(A77&lt;&gt;"",H76+B3*12,"")</f>
        <v/>
      </c>
      <c r="D77" s="22" t="str">
        <f>IF(A77&lt;&gt;"",H76*B5/100,"")</f>
        <v/>
      </c>
      <c r="E77" s="22" t="str">
        <f>IF(A77&lt;&gt;"",B6,"")</f>
        <v/>
      </c>
      <c r="F77" s="22" t="str">
        <f t="shared" si="1"/>
        <v/>
      </c>
      <c r="G77" s="22" t="str">
        <f>IF(A77&lt;&gt;"",F77*B7/100,"")</f>
        <v/>
      </c>
      <c r="H77" s="22" t="str">
        <f>IF(A77&lt;&gt;"",H76+B3*12+D77-G77,"")</f>
        <v/>
      </c>
    </row>
    <row r="78" spans="1:8" x14ac:dyDescent="0.35">
      <c r="A78" s="22" t="str">
        <f>IF(68&lt;=B4,68,"")</f>
        <v/>
      </c>
      <c r="B78" s="22" t="str">
        <f>IF(A78&lt;&gt;"",B3*12,"")</f>
        <v/>
      </c>
      <c r="C78" s="22" t="str">
        <f>IF(A78&lt;&gt;"",H77+B3*12,"")</f>
        <v/>
      </c>
      <c r="D78" s="22" t="str">
        <f>IF(A78&lt;&gt;"",H77*B5/100,"")</f>
        <v/>
      </c>
      <c r="E78" s="22" t="str">
        <f>IF(A78&lt;&gt;"",B6,"")</f>
        <v/>
      </c>
      <c r="F78" s="22" t="str">
        <f t="shared" si="1"/>
        <v/>
      </c>
      <c r="G78" s="22" t="str">
        <f>IF(A78&lt;&gt;"",F78*B7/100,"")</f>
        <v/>
      </c>
      <c r="H78" s="22" t="str">
        <f>IF(A78&lt;&gt;"",H77+B3*12+D78-G78,"")</f>
        <v/>
      </c>
    </row>
    <row r="79" spans="1:8" x14ac:dyDescent="0.35">
      <c r="A79" s="22" t="str">
        <f>IF(69&lt;=B4,69,"")</f>
        <v/>
      </c>
      <c r="B79" s="22" t="str">
        <f>IF(A79&lt;&gt;"",B3*12,"")</f>
        <v/>
      </c>
      <c r="C79" s="22" t="str">
        <f>IF(A79&lt;&gt;"",H78+B3*12,"")</f>
        <v/>
      </c>
      <c r="D79" s="22" t="str">
        <f>IF(A79&lt;&gt;"",H78*B5/100,"")</f>
        <v/>
      </c>
      <c r="E79" s="22" t="str">
        <f>IF(A79&lt;&gt;"",B6,"")</f>
        <v/>
      </c>
      <c r="F79" s="22" t="str">
        <f t="shared" si="1"/>
        <v/>
      </c>
      <c r="G79" s="22" t="str">
        <f>IF(A79&lt;&gt;"",F79*B7/100,"")</f>
        <v/>
      </c>
      <c r="H79" s="22" t="str">
        <f>IF(A79&lt;&gt;"",H78+B3*12+D79-G79,"")</f>
        <v/>
      </c>
    </row>
    <row r="80" spans="1:8" x14ac:dyDescent="0.35">
      <c r="A80" s="22" t="str">
        <f>IF(70&lt;=B4,70,"")</f>
        <v/>
      </c>
      <c r="B80" s="22" t="str">
        <f>IF(A80&lt;&gt;"",B3*12,"")</f>
        <v/>
      </c>
      <c r="C80" s="22" t="str">
        <f>IF(A80&lt;&gt;"",H79+B3*12,"")</f>
        <v/>
      </c>
      <c r="D80" s="22" t="str">
        <f>IF(A80&lt;&gt;"",H79*B5/100,"")</f>
        <v/>
      </c>
      <c r="E80" s="22" t="str">
        <f>IF(A80&lt;&gt;"",B6,"")</f>
        <v/>
      </c>
      <c r="F80" s="22" t="str">
        <f t="shared" si="1"/>
        <v/>
      </c>
      <c r="G80" s="22" t="str">
        <f>IF(A80&lt;&gt;"",F80*B7/100,"")</f>
        <v/>
      </c>
      <c r="H80" s="22" t="str">
        <f>IF(A80&lt;&gt;"",H79+B3*12+D80-G80,"")</f>
        <v/>
      </c>
    </row>
    <row r="81" spans="1:8" x14ac:dyDescent="0.35">
      <c r="A81" s="22" t="str">
        <f>IF(71&lt;=B4,71,"")</f>
        <v/>
      </c>
      <c r="B81" s="22" t="str">
        <f>IF(A81&lt;&gt;"",B3*12,"")</f>
        <v/>
      </c>
      <c r="C81" s="22" t="str">
        <f>IF(A81&lt;&gt;"",H80+B3*12,"")</f>
        <v/>
      </c>
      <c r="D81" s="22" t="str">
        <f>IF(A81&lt;&gt;"",H80*B5/100,"")</f>
        <v/>
      </c>
      <c r="E81" s="22" t="str">
        <f>IF(A81&lt;&gt;"",B6,"")</f>
        <v/>
      </c>
      <c r="F81" s="22" t="str">
        <f t="shared" si="1"/>
        <v/>
      </c>
      <c r="G81" s="22" t="str">
        <f>IF(A81&lt;&gt;"",F81*B7/100,"")</f>
        <v/>
      </c>
      <c r="H81" s="22" t="str">
        <f>IF(A81&lt;&gt;"",H80+B3*12+D81-G81,"")</f>
        <v/>
      </c>
    </row>
    <row r="82" spans="1:8" x14ac:dyDescent="0.35">
      <c r="A82" s="22" t="str">
        <f>IF(72&lt;=B4,72,"")</f>
        <v/>
      </c>
      <c r="B82" s="22" t="str">
        <f>IF(A82&lt;&gt;"",B3*12,"")</f>
        <v/>
      </c>
      <c r="C82" s="22" t="str">
        <f>IF(A82&lt;&gt;"",H81+B3*12,"")</f>
        <v/>
      </c>
      <c r="D82" s="22" t="str">
        <f>IF(A82&lt;&gt;"",H81*B5/100,"")</f>
        <v/>
      </c>
      <c r="E82" s="22" t="str">
        <f>IF(A82&lt;&gt;"",B6,"")</f>
        <v/>
      </c>
      <c r="F82" s="22" t="str">
        <f t="shared" si="1"/>
        <v/>
      </c>
      <c r="G82" s="22" t="str">
        <f>IF(A82&lt;&gt;"",F82*B7/100,"")</f>
        <v/>
      </c>
      <c r="H82" s="22" t="str">
        <f>IF(A82&lt;&gt;"",H81+B3*12+D82-G82,"")</f>
        <v/>
      </c>
    </row>
    <row r="83" spans="1:8" x14ac:dyDescent="0.35">
      <c r="A83" s="22" t="str">
        <f>IF(73&lt;=B4,73,"")</f>
        <v/>
      </c>
      <c r="B83" s="22" t="str">
        <f>IF(A83&lt;&gt;"",B3*12,"")</f>
        <v/>
      </c>
      <c r="C83" s="22" t="str">
        <f>IF(A83&lt;&gt;"",H82+B3*12,"")</f>
        <v/>
      </c>
      <c r="D83" s="22" t="str">
        <f>IF(A83&lt;&gt;"",H82*B5/100,"")</f>
        <v/>
      </c>
      <c r="E83" s="22" t="str">
        <f>IF(A83&lt;&gt;"",B6,"")</f>
        <v/>
      </c>
      <c r="F83" s="22" t="str">
        <f t="shared" si="1"/>
        <v/>
      </c>
      <c r="G83" s="22" t="str">
        <f>IF(A83&lt;&gt;"",F83*B7/100,"")</f>
        <v/>
      </c>
      <c r="H83" s="22" t="str">
        <f>IF(A83&lt;&gt;"",H82+B3*12+D83-G83,"")</f>
        <v/>
      </c>
    </row>
    <row r="84" spans="1:8" x14ac:dyDescent="0.35">
      <c r="A84" s="22" t="str">
        <f>IF(74&lt;=B4,74,"")</f>
        <v/>
      </c>
      <c r="B84" s="22" t="str">
        <f>IF(A84&lt;&gt;"",B3*12,"")</f>
        <v/>
      </c>
      <c r="C84" s="22" t="str">
        <f>IF(A84&lt;&gt;"",H83+B3*12,"")</f>
        <v/>
      </c>
      <c r="D84" s="22" t="str">
        <f>IF(A84&lt;&gt;"",H83*B5/100,"")</f>
        <v/>
      </c>
      <c r="E84" s="22" t="str">
        <f>IF(A84&lt;&gt;"",B6,"")</f>
        <v/>
      </c>
      <c r="F84" s="22" t="str">
        <f t="shared" si="1"/>
        <v/>
      </c>
      <c r="G84" s="22" t="str">
        <f>IF(A84&lt;&gt;"",F84*B7/100,"")</f>
        <v/>
      </c>
      <c r="H84" s="22" t="str">
        <f>IF(A84&lt;&gt;"",H83+B3*12+D84-G84,"")</f>
        <v/>
      </c>
    </row>
    <row r="85" spans="1:8" x14ac:dyDescent="0.35">
      <c r="A85" s="22" t="str">
        <f>IF(75&lt;=B4,75,"")</f>
        <v/>
      </c>
      <c r="B85" s="22" t="str">
        <f>IF(A85&lt;&gt;"",B3*12,"")</f>
        <v/>
      </c>
      <c r="C85" s="22" t="str">
        <f>IF(A85&lt;&gt;"",H84+B3*12,"")</f>
        <v/>
      </c>
      <c r="D85" s="22" t="str">
        <f>IF(A85&lt;&gt;"",H84*B5/100,"")</f>
        <v/>
      </c>
      <c r="E85" s="22" t="str">
        <f>IF(A85&lt;&gt;"",B6,"")</f>
        <v/>
      </c>
      <c r="F85" s="22" t="str">
        <f t="shared" si="1"/>
        <v/>
      </c>
      <c r="G85" s="22" t="str">
        <f>IF(A85&lt;&gt;"",F85*B7/100,"")</f>
        <v/>
      </c>
      <c r="H85" s="22" t="str">
        <f>IF(A85&lt;&gt;"",H84+B3*12+D85-G85,"")</f>
        <v/>
      </c>
    </row>
    <row r="86" spans="1:8" x14ac:dyDescent="0.35">
      <c r="A86" s="22" t="str">
        <f>IF(76&lt;=B4,76,"")</f>
        <v/>
      </c>
      <c r="B86" s="22" t="str">
        <f>IF(A86&lt;&gt;"",B3*12,"")</f>
        <v/>
      </c>
      <c r="C86" s="22" t="str">
        <f>IF(A86&lt;&gt;"",H85+B3*12,"")</f>
        <v/>
      </c>
      <c r="D86" s="22" t="str">
        <f>IF(A86&lt;&gt;"",H85*B5/100,"")</f>
        <v/>
      </c>
      <c r="E86" s="22" t="str">
        <f>IF(A86&lt;&gt;"",B6,"")</f>
        <v/>
      </c>
      <c r="F86" s="22" t="str">
        <f t="shared" si="1"/>
        <v/>
      </c>
      <c r="G86" s="22" t="str">
        <f>IF(A86&lt;&gt;"",F86*B7/100,"")</f>
        <v/>
      </c>
      <c r="H86" s="22" t="str">
        <f>IF(A86&lt;&gt;"",H85+B3*12+D86-G86,"")</f>
        <v/>
      </c>
    </row>
    <row r="87" spans="1:8" x14ac:dyDescent="0.35">
      <c r="A87" s="22" t="str">
        <f>IF(77&lt;=B4,77,"")</f>
        <v/>
      </c>
      <c r="B87" s="22" t="str">
        <f>IF(A87&lt;&gt;"",B3*12,"")</f>
        <v/>
      </c>
      <c r="C87" s="22" t="str">
        <f>IF(A87&lt;&gt;"",H86+B3*12,"")</f>
        <v/>
      </c>
      <c r="D87" s="22" t="str">
        <f>IF(A87&lt;&gt;"",H86*B5/100,"")</f>
        <v/>
      </c>
      <c r="E87" s="22" t="str">
        <f>IF(A87&lt;&gt;"",B6,"")</f>
        <v/>
      </c>
      <c r="F87" s="22" t="str">
        <f t="shared" si="1"/>
        <v/>
      </c>
      <c r="G87" s="22" t="str">
        <f>IF(A87&lt;&gt;"",F87*B7/100,"")</f>
        <v/>
      </c>
      <c r="H87" s="22" t="str">
        <f>IF(A87&lt;&gt;"",H86+B3*12+D87-G87,"")</f>
        <v/>
      </c>
    </row>
    <row r="88" spans="1:8" x14ac:dyDescent="0.35">
      <c r="A88" s="22" t="str">
        <f>IF(78&lt;=B4,78,"")</f>
        <v/>
      </c>
      <c r="B88" s="22" t="str">
        <f>IF(A88&lt;&gt;"",B3*12,"")</f>
        <v/>
      </c>
      <c r="C88" s="22" t="str">
        <f>IF(A88&lt;&gt;"",H87+B3*12,"")</f>
        <v/>
      </c>
      <c r="D88" s="22" t="str">
        <f>IF(A88&lt;&gt;"",H87*B5/100,"")</f>
        <v/>
      </c>
      <c r="E88" s="22" t="str">
        <f>IF(A88&lt;&gt;"",B6,"")</f>
        <v/>
      </c>
      <c r="F88" s="22" t="str">
        <f t="shared" si="1"/>
        <v/>
      </c>
      <c r="G88" s="22" t="str">
        <f>IF(A88&lt;&gt;"",F88*B7/100,"")</f>
        <v/>
      </c>
      <c r="H88" s="22" t="str">
        <f>IF(A88&lt;&gt;"",H87+B3*12+D88-G88,"")</f>
        <v/>
      </c>
    </row>
    <row r="89" spans="1:8" x14ac:dyDescent="0.35">
      <c r="A89" s="22" t="str">
        <f>IF(79&lt;=B4,79,"")</f>
        <v/>
      </c>
      <c r="B89" s="22" t="str">
        <f>IF(A89&lt;&gt;"",B3*12,"")</f>
        <v/>
      </c>
      <c r="C89" s="22" t="str">
        <f>IF(A89&lt;&gt;"",H88+B3*12,"")</f>
        <v/>
      </c>
      <c r="D89" s="22" t="str">
        <f>IF(A89&lt;&gt;"",H88*B5/100,"")</f>
        <v/>
      </c>
      <c r="E89" s="22" t="str">
        <f>IF(A89&lt;&gt;"",B6,"")</f>
        <v/>
      </c>
      <c r="F89" s="22" t="str">
        <f t="shared" si="1"/>
        <v/>
      </c>
      <c r="G89" s="22" t="str">
        <f>IF(A89&lt;&gt;"",F89*B7/100,"")</f>
        <v/>
      </c>
      <c r="H89" s="22" t="str">
        <f>IF(A89&lt;&gt;"",H88+B3*12+D89-G89,"")</f>
        <v/>
      </c>
    </row>
    <row r="90" spans="1:8" x14ac:dyDescent="0.35">
      <c r="A90" s="22" t="str">
        <f>IF(80&lt;=B4,80,"")</f>
        <v/>
      </c>
      <c r="B90" s="22" t="str">
        <f>IF(A90&lt;&gt;"",B3*12,"")</f>
        <v/>
      </c>
      <c r="C90" s="22" t="str">
        <f>IF(A90&lt;&gt;"",H89+B3*12,"")</f>
        <v/>
      </c>
      <c r="D90" s="22" t="str">
        <f>IF(A90&lt;&gt;"",H89*B5/100,"")</f>
        <v/>
      </c>
      <c r="E90" s="22" t="str">
        <f>IF(A90&lt;&gt;"",B6,"")</f>
        <v/>
      </c>
      <c r="F90" s="22" t="str">
        <f t="shared" si="1"/>
        <v/>
      </c>
      <c r="G90" s="22" t="str">
        <f>IF(A90&lt;&gt;"",F90*B7/100,"")</f>
        <v/>
      </c>
      <c r="H90" s="22" t="str">
        <f>IF(A90&lt;&gt;"",H89+B3*12+D90-G90,"")</f>
        <v/>
      </c>
    </row>
    <row r="91" spans="1:8" x14ac:dyDescent="0.35">
      <c r="A91" s="22" t="str">
        <f>IF(81&lt;=B4,81,"")</f>
        <v/>
      </c>
      <c r="B91" s="22" t="str">
        <f>IF(A91&lt;&gt;"",B3*12,"")</f>
        <v/>
      </c>
      <c r="C91" s="22" t="str">
        <f>IF(A91&lt;&gt;"",H90+B3*12,"")</f>
        <v/>
      </c>
      <c r="D91" s="22" t="str">
        <f>IF(A91&lt;&gt;"",H90*B5/100,"")</f>
        <v/>
      </c>
      <c r="E91" s="22" t="str">
        <f>IF(A91&lt;&gt;"",B6,"")</f>
        <v/>
      </c>
      <c r="F91" s="22" t="str">
        <f t="shared" si="1"/>
        <v/>
      </c>
      <c r="G91" s="22" t="str">
        <f>IF(A91&lt;&gt;"",F91*B7/100,"")</f>
        <v/>
      </c>
      <c r="H91" s="22" t="str">
        <f>IF(A91&lt;&gt;"",H90+B3*12+D91-G91,"")</f>
        <v/>
      </c>
    </row>
    <row r="92" spans="1:8" x14ac:dyDescent="0.35">
      <c r="A92" s="22" t="str">
        <f>IF(82&lt;=B4,82,"")</f>
        <v/>
      </c>
      <c r="B92" s="22" t="str">
        <f>IF(A92&lt;&gt;"",B3*12,"")</f>
        <v/>
      </c>
      <c r="C92" s="22" t="str">
        <f>IF(A92&lt;&gt;"",H91+B3*12,"")</f>
        <v/>
      </c>
      <c r="D92" s="22" t="str">
        <f>IF(A92&lt;&gt;"",H91*B5/100,"")</f>
        <v/>
      </c>
      <c r="E92" s="22" t="str">
        <f>IF(A92&lt;&gt;"",B6,"")</f>
        <v/>
      </c>
      <c r="F92" s="22" t="str">
        <f t="shared" si="1"/>
        <v/>
      </c>
      <c r="G92" s="22" t="str">
        <f>IF(A92&lt;&gt;"",F92*B7/100,"")</f>
        <v/>
      </c>
      <c r="H92" s="22" t="str">
        <f>IF(A92&lt;&gt;"",H91+B3*12+D92-G92,"")</f>
        <v/>
      </c>
    </row>
    <row r="93" spans="1:8" x14ac:dyDescent="0.35">
      <c r="A93" s="22" t="str">
        <f>IF(83&lt;=B4,83,"")</f>
        <v/>
      </c>
      <c r="B93" s="22" t="str">
        <f>IF(A93&lt;&gt;"",B3*12,"")</f>
        <v/>
      </c>
      <c r="C93" s="22" t="str">
        <f>IF(A93&lt;&gt;"",H92+B3*12,"")</f>
        <v/>
      </c>
      <c r="D93" s="22" t="str">
        <f>IF(A93&lt;&gt;"",H92*B5/100,"")</f>
        <v/>
      </c>
      <c r="E93" s="22" t="str">
        <f>IF(A93&lt;&gt;"",B6,"")</f>
        <v/>
      </c>
      <c r="F93" s="22" t="str">
        <f t="shared" si="1"/>
        <v/>
      </c>
      <c r="G93" s="22" t="str">
        <f>IF(A93&lt;&gt;"",F93*B7/100,"")</f>
        <v/>
      </c>
      <c r="H93" s="22" t="str">
        <f>IF(A93&lt;&gt;"",H92+B3*12+D93-G93,"")</f>
        <v/>
      </c>
    </row>
    <row r="94" spans="1:8" x14ac:dyDescent="0.35">
      <c r="A94" s="22" t="str">
        <f>IF(84&lt;=B4,84,"")</f>
        <v/>
      </c>
      <c r="B94" s="22" t="str">
        <f>IF(A94&lt;&gt;"",B3*12,"")</f>
        <v/>
      </c>
      <c r="C94" s="22" t="str">
        <f>IF(A94&lt;&gt;"",H93+B3*12,"")</f>
        <v/>
      </c>
      <c r="D94" s="22" t="str">
        <f>IF(A94&lt;&gt;"",H93*B5/100,"")</f>
        <v/>
      </c>
      <c r="E94" s="22" t="str">
        <f>IF(A94&lt;&gt;"",B6,"")</f>
        <v/>
      </c>
      <c r="F94" s="22" t="str">
        <f t="shared" si="1"/>
        <v/>
      </c>
      <c r="G94" s="22" t="str">
        <f>IF(A94&lt;&gt;"",F94*B7/100,"")</f>
        <v/>
      </c>
      <c r="H94" s="22" t="str">
        <f>IF(A94&lt;&gt;"",H93+B3*12+D94-G94,"")</f>
        <v/>
      </c>
    </row>
    <row r="95" spans="1:8" x14ac:dyDescent="0.35">
      <c r="A95" s="22" t="str">
        <f>IF(85&lt;=B4,85,"")</f>
        <v/>
      </c>
      <c r="B95" s="22" t="str">
        <f>IF(A95&lt;&gt;"",B3*12,"")</f>
        <v/>
      </c>
      <c r="C95" s="22" t="str">
        <f>IF(A95&lt;&gt;"",H94+B3*12,"")</f>
        <v/>
      </c>
      <c r="D95" s="22" t="str">
        <f>IF(A95&lt;&gt;"",H94*B5/100,"")</f>
        <v/>
      </c>
      <c r="E95" s="22" t="str">
        <f>IF(A95&lt;&gt;"",B6,"")</f>
        <v/>
      </c>
      <c r="F95" s="22" t="str">
        <f t="shared" si="1"/>
        <v/>
      </c>
      <c r="G95" s="22" t="str">
        <f>IF(A95&lt;&gt;"",F95*B7/100,"")</f>
        <v/>
      </c>
      <c r="H95" s="22" t="str">
        <f>IF(A95&lt;&gt;"",H94+B3*12+D95-G95,"")</f>
        <v/>
      </c>
    </row>
    <row r="96" spans="1:8" x14ac:dyDescent="0.35">
      <c r="A96" s="22" t="str">
        <f>IF(86&lt;=B4,86,"")</f>
        <v/>
      </c>
      <c r="B96" s="22" t="str">
        <f>IF(A96&lt;&gt;"",B3*12,"")</f>
        <v/>
      </c>
      <c r="C96" s="22" t="str">
        <f>IF(A96&lt;&gt;"",H95+B3*12,"")</f>
        <v/>
      </c>
      <c r="D96" s="22" t="str">
        <f>IF(A96&lt;&gt;"",H95*B5/100,"")</f>
        <v/>
      </c>
      <c r="E96" s="22" t="str">
        <f>IF(A96&lt;&gt;"",B6,"")</f>
        <v/>
      </c>
      <c r="F96" s="22" t="str">
        <f t="shared" si="1"/>
        <v/>
      </c>
      <c r="G96" s="22" t="str">
        <f>IF(A96&lt;&gt;"",F96*B7/100,"")</f>
        <v/>
      </c>
      <c r="H96" s="22" t="str">
        <f>IF(A96&lt;&gt;"",H95+B3*12+D96-G96,"")</f>
        <v/>
      </c>
    </row>
    <row r="97" spans="1:8" x14ac:dyDescent="0.35">
      <c r="A97" s="22" t="str">
        <f>IF(87&lt;=B4,87,"")</f>
        <v/>
      </c>
      <c r="B97" s="22" t="str">
        <f>IF(A97&lt;&gt;"",B3*12,"")</f>
        <v/>
      </c>
      <c r="C97" s="22" t="str">
        <f>IF(A97&lt;&gt;"",H96+B3*12,"")</f>
        <v/>
      </c>
      <c r="D97" s="22" t="str">
        <f>IF(A97&lt;&gt;"",H96*B5/100,"")</f>
        <v/>
      </c>
      <c r="E97" s="22" t="str">
        <f>IF(A97&lt;&gt;"",B6,"")</f>
        <v/>
      </c>
      <c r="F97" s="22" t="str">
        <f t="shared" si="1"/>
        <v/>
      </c>
      <c r="G97" s="22" t="str">
        <f>IF(A97&lt;&gt;"",F97*B7/100,"")</f>
        <v/>
      </c>
      <c r="H97" s="22" t="str">
        <f>IF(A97&lt;&gt;"",H96+B3*12+D97-G97,"")</f>
        <v/>
      </c>
    </row>
    <row r="98" spans="1:8" x14ac:dyDescent="0.35">
      <c r="A98" s="22" t="str">
        <f>IF(88&lt;=B4,88,"")</f>
        <v/>
      </c>
      <c r="B98" s="22" t="str">
        <f>IF(A98&lt;&gt;"",B3*12,"")</f>
        <v/>
      </c>
      <c r="C98" s="22" t="str">
        <f>IF(A98&lt;&gt;"",H97+B3*12,"")</f>
        <v/>
      </c>
      <c r="D98" s="22" t="str">
        <f>IF(A98&lt;&gt;"",H97*B5/100,"")</f>
        <v/>
      </c>
      <c r="E98" s="22" t="str">
        <f>IF(A98&lt;&gt;"",B6,"")</f>
        <v/>
      </c>
      <c r="F98" s="22" t="str">
        <f t="shared" si="1"/>
        <v/>
      </c>
      <c r="G98" s="22" t="str">
        <f>IF(A98&lt;&gt;"",F98*B7/100,"")</f>
        <v/>
      </c>
      <c r="H98" s="22" t="str">
        <f>IF(A98&lt;&gt;"",H97+B3*12+D98-G98,"")</f>
        <v/>
      </c>
    </row>
    <row r="99" spans="1:8" x14ac:dyDescent="0.35">
      <c r="A99" s="22" t="str">
        <f>IF(89&lt;=B4,89,"")</f>
        <v/>
      </c>
      <c r="B99" s="22" t="str">
        <f>IF(A99&lt;&gt;"",B3*12,"")</f>
        <v/>
      </c>
      <c r="C99" s="22" t="str">
        <f>IF(A99&lt;&gt;"",H98+B3*12,"")</f>
        <v/>
      </c>
      <c r="D99" s="22" t="str">
        <f>IF(A99&lt;&gt;"",H98*B5/100,"")</f>
        <v/>
      </c>
      <c r="E99" s="22" t="str">
        <f>IF(A99&lt;&gt;"",B6,"")</f>
        <v/>
      </c>
      <c r="F99" s="22" t="str">
        <f t="shared" si="1"/>
        <v/>
      </c>
      <c r="G99" s="22" t="str">
        <f>IF(A99&lt;&gt;"",F99*B7/100,"")</f>
        <v/>
      </c>
      <c r="H99" s="22" t="str">
        <f>IF(A99&lt;&gt;"",H98+B3*12+D99-G99,"")</f>
        <v/>
      </c>
    </row>
    <row r="100" spans="1:8" x14ac:dyDescent="0.35">
      <c r="A100" s="22" t="str">
        <f>IF(90&lt;=B4,90,"")</f>
        <v/>
      </c>
      <c r="B100" s="22" t="str">
        <f>IF(A100&lt;&gt;"",B3*12,"")</f>
        <v/>
      </c>
      <c r="C100" s="22" t="str">
        <f>IF(A100&lt;&gt;"",H99+B3*12,"")</f>
        <v/>
      </c>
      <c r="D100" s="22" t="str">
        <f>IF(A100&lt;&gt;"",H99*B5/100,"")</f>
        <v/>
      </c>
      <c r="E100" s="22" t="str">
        <f>IF(A100&lt;&gt;"",B6,"")</f>
        <v/>
      </c>
      <c r="F100" s="22" t="str">
        <f t="shared" si="1"/>
        <v/>
      </c>
      <c r="G100" s="22" t="str">
        <f>IF(A100&lt;&gt;"",F100*B7/100,"")</f>
        <v/>
      </c>
      <c r="H100" s="22" t="str">
        <f>IF(A100&lt;&gt;"",H99+B3*12+D100-G100,"")</f>
        <v/>
      </c>
    </row>
    <row r="101" spans="1:8" x14ac:dyDescent="0.35">
      <c r="A101" s="22" t="str">
        <f>IF(91&lt;=B4,91,"")</f>
        <v/>
      </c>
      <c r="B101" s="22" t="str">
        <f>IF(A101&lt;&gt;"",B3*12,"")</f>
        <v/>
      </c>
      <c r="C101" s="22" t="str">
        <f>IF(A101&lt;&gt;"",H100+B3*12,"")</f>
        <v/>
      </c>
      <c r="D101" s="22" t="str">
        <f>IF(A101&lt;&gt;"",H100*B5/100,"")</f>
        <v/>
      </c>
      <c r="E101" s="22" t="str">
        <f>IF(A101&lt;&gt;"",B6,"")</f>
        <v/>
      </c>
      <c r="F101" s="22" t="str">
        <f t="shared" si="1"/>
        <v/>
      </c>
      <c r="G101" s="22" t="str">
        <f>IF(A101&lt;&gt;"",F101*B7/100,"")</f>
        <v/>
      </c>
      <c r="H101" s="22" t="str">
        <f>IF(A101&lt;&gt;"",H100+B3*12+D101-G101,"")</f>
        <v/>
      </c>
    </row>
    <row r="102" spans="1:8" x14ac:dyDescent="0.35">
      <c r="A102" s="22" t="str">
        <f>IF(92&lt;=B4,92,"")</f>
        <v/>
      </c>
      <c r="B102" s="22" t="str">
        <f>IF(A102&lt;&gt;"",B3*12,"")</f>
        <v/>
      </c>
      <c r="C102" s="22" t="str">
        <f>IF(A102&lt;&gt;"",H101+B3*12,"")</f>
        <v/>
      </c>
      <c r="D102" s="22" t="str">
        <f>IF(A102&lt;&gt;"",H101*B5/100,"")</f>
        <v/>
      </c>
      <c r="E102" s="22" t="str">
        <f>IF(A102&lt;&gt;"",B6,"")</f>
        <v/>
      </c>
      <c r="F102" s="22" t="str">
        <f t="shared" si="1"/>
        <v/>
      </c>
      <c r="G102" s="22" t="str">
        <f>IF(A102&lt;&gt;"",F102*B7/100,"")</f>
        <v/>
      </c>
      <c r="H102" s="22" t="str">
        <f>IF(A102&lt;&gt;"",H101+B3*12+D102-G102,"")</f>
        <v/>
      </c>
    </row>
    <row r="103" spans="1:8" x14ac:dyDescent="0.35">
      <c r="A103" s="22" t="str">
        <f>IF(93&lt;=B4,93,"")</f>
        <v/>
      </c>
      <c r="B103" s="22" t="str">
        <f>IF(A103&lt;&gt;"",B3*12,"")</f>
        <v/>
      </c>
      <c r="C103" s="22" t="str">
        <f>IF(A103&lt;&gt;"",H102+B3*12,"")</f>
        <v/>
      </c>
      <c r="D103" s="22" t="str">
        <f>IF(A103&lt;&gt;"",H102*B5/100,"")</f>
        <v/>
      </c>
      <c r="E103" s="22" t="str">
        <f>IF(A103&lt;&gt;"",B6,"")</f>
        <v/>
      </c>
      <c r="F103" s="22" t="str">
        <f t="shared" si="1"/>
        <v/>
      </c>
      <c r="G103" s="22" t="str">
        <f>IF(A103&lt;&gt;"",F103*B7/100,"")</f>
        <v/>
      </c>
      <c r="H103" s="22" t="str">
        <f>IF(A103&lt;&gt;"",H102+B3*12+D103-G103,"")</f>
        <v/>
      </c>
    </row>
    <row r="104" spans="1:8" x14ac:dyDescent="0.35">
      <c r="A104" s="22" t="str">
        <f>IF(94&lt;=B4,94,"")</f>
        <v/>
      </c>
      <c r="B104" s="22" t="str">
        <f>IF(A104&lt;&gt;"",B3*12,"")</f>
        <v/>
      </c>
      <c r="C104" s="22" t="str">
        <f>IF(A104&lt;&gt;"",H103+B3*12,"")</f>
        <v/>
      </c>
      <c r="D104" s="22" t="str">
        <f>IF(A104&lt;&gt;"",H103*B5/100,"")</f>
        <v/>
      </c>
      <c r="E104" s="22" t="str">
        <f>IF(A104&lt;&gt;"",B6,"")</f>
        <v/>
      </c>
      <c r="F104" s="22" t="str">
        <f t="shared" si="1"/>
        <v/>
      </c>
      <c r="G104" s="22" t="str">
        <f>IF(A104&lt;&gt;"",F104*B7/100,"")</f>
        <v/>
      </c>
      <c r="H104" s="22" t="str">
        <f>IF(A104&lt;&gt;"",H103+B3*12+D104-G104,"")</f>
        <v/>
      </c>
    </row>
    <row r="105" spans="1:8" x14ac:dyDescent="0.35">
      <c r="A105" s="22" t="str">
        <f>IF(95&lt;=B4,95,"")</f>
        <v/>
      </c>
      <c r="B105" s="22" t="str">
        <f>IF(A105&lt;&gt;"",B3*12,"")</f>
        <v/>
      </c>
      <c r="C105" s="22" t="str">
        <f>IF(A105&lt;&gt;"",H104+B3*12,"")</f>
        <v/>
      </c>
      <c r="D105" s="22" t="str">
        <f>IF(A105&lt;&gt;"",H104*B5/100,"")</f>
        <v/>
      </c>
      <c r="E105" s="22" t="str">
        <f>IF(A105&lt;&gt;"",B6,"")</f>
        <v/>
      </c>
      <c r="F105" s="22" t="str">
        <f t="shared" si="1"/>
        <v/>
      </c>
      <c r="G105" s="22" t="str">
        <f>IF(A105&lt;&gt;"",F105*B7/100,"")</f>
        <v/>
      </c>
      <c r="H105" s="22" t="str">
        <f>IF(A105&lt;&gt;"",H104+B3*12+D105-G105,"")</f>
        <v/>
      </c>
    </row>
    <row r="106" spans="1:8" x14ac:dyDescent="0.35">
      <c r="A106" s="22" t="str">
        <f>IF(96&lt;=B4,96,"")</f>
        <v/>
      </c>
      <c r="B106" s="22" t="str">
        <f>IF(A106&lt;&gt;"",B3*12,"")</f>
        <v/>
      </c>
      <c r="C106" s="22" t="str">
        <f>IF(A106&lt;&gt;"",H105+B3*12,"")</f>
        <v/>
      </c>
      <c r="D106" s="22" t="str">
        <f>IF(A106&lt;&gt;"",H105*B5/100,"")</f>
        <v/>
      </c>
      <c r="E106" s="22" t="str">
        <f>IF(A106&lt;&gt;"",B6,"")</f>
        <v/>
      </c>
      <c r="F106" s="22" t="str">
        <f t="shared" si="1"/>
        <v/>
      </c>
      <c r="G106" s="22" t="str">
        <f>IF(A106&lt;&gt;"",F106*B7/100,"")</f>
        <v/>
      </c>
      <c r="H106" s="22" t="str">
        <f>IF(A106&lt;&gt;"",H105+B3*12+D106-G106,"")</f>
        <v/>
      </c>
    </row>
    <row r="107" spans="1:8" x14ac:dyDescent="0.35">
      <c r="A107" s="22" t="str">
        <f>IF(97&lt;=B4,97,"")</f>
        <v/>
      </c>
      <c r="B107" s="22" t="str">
        <f>IF(A107&lt;&gt;"",B3*12,"")</f>
        <v/>
      </c>
      <c r="C107" s="22" t="str">
        <f>IF(A107&lt;&gt;"",H106+B3*12,"")</f>
        <v/>
      </c>
      <c r="D107" s="22" t="str">
        <f>IF(A107&lt;&gt;"",H106*B5/100,"")</f>
        <v/>
      </c>
      <c r="E107" s="22" t="str">
        <f>IF(A107&lt;&gt;"",B6,"")</f>
        <v/>
      </c>
      <c r="F107" s="22" t="str">
        <f t="shared" si="1"/>
        <v/>
      </c>
      <c r="G107" s="22" t="str">
        <f>IF(A107&lt;&gt;"",F107*B7/100,"")</f>
        <v/>
      </c>
      <c r="H107" s="22" t="str">
        <f>IF(A107&lt;&gt;"",H106+B3*12+D107-G107,"")</f>
        <v/>
      </c>
    </row>
    <row r="108" spans="1:8" x14ac:dyDescent="0.35">
      <c r="A108" s="22" t="str">
        <f>IF(98&lt;=B4,98,"")</f>
        <v/>
      </c>
      <c r="B108" s="22" t="str">
        <f>IF(A108&lt;&gt;"",B3*12,"")</f>
        <v/>
      </c>
      <c r="C108" s="22" t="str">
        <f>IF(A108&lt;&gt;"",H107+B3*12,"")</f>
        <v/>
      </c>
      <c r="D108" s="22" t="str">
        <f>IF(A108&lt;&gt;"",H107*B5/100,"")</f>
        <v/>
      </c>
      <c r="E108" s="22" t="str">
        <f>IF(A108&lt;&gt;"",B6,"")</f>
        <v/>
      </c>
      <c r="F108" s="22" t="str">
        <f t="shared" si="1"/>
        <v/>
      </c>
      <c r="G108" s="22" t="str">
        <f>IF(A108&lt;&gt;"",F108*B7/100,"")</f>
        <v/>
      </c>
      <c r="H108" s="22" t="str">
        <f>IF(A108&lt;&gt;"",H107+B3*12+D108-G108,"")</f>
        <v/>
      </c>
    </row>
    <row r="109" spans="1:8" x14ac:dyDescent="0.35">
      <c r="A109" s="22" t="str">
        <f>IF(99&lt;=B4,99,"")</f>
        <v/>
      </c>
      <c r="B109" s="22" t="str">
        <f>IF(A109&lt;&gt;"",B3*12,"")</f>
        <v/>
      </c>
      <c r="C109" s="22" t="str">
        <f>IF(A109&lt;&gt;"",H108+B3*12,"")</f>
        <v/>
      </c>
      <c r="D109" s="22" t="str">
        <f>IF(A109&lt;&gt;"",H108*B5/100,"")</f>
        <v/>
      </c>
      <c r="E109" s="22" t="str">
        <f>IF(A109&lt;&gt;"",B6,"")</f>
        <v/>
      </c>
      <c r="F109" s="22" t="str">
        <f t="shared" si="1"/>
        <v/>
      </c>
      <c r="G109" s="22" t="str">
        <f>IF(A109&lt;&gt;"",F109*B7/100,"")</f>
        <v/>
      </c>
      <c r="H109" s="22" t="str">
        <f>IF(A109&lt;&gt;"",H108+B3*12+D109-G109,"")</f>
        <v/>
      </c>
    </row>
    <row r="110" spans="1:8" x14ac:dyDescent="0.35">
      <c r="A110" s="22" t="str">
        <f>IF(100&lt;=B4,100,"")</f>
        <v/>
      </c>
      <c r="B110" s="22" t="str">
        <f>IF(A110&lt;&gt;"",B3*12,"")</f>
        <v/>
      </c>
      <c r="C110" s="22" t="str">
        <f>IF(A110&lt;&gt;"",H109+B3*12,"")</f>
        <v/>
      </c>
      <c r="D110" s="22" t="str">
        <f>IF(A110&lt;&gt;"",H109*B5/100,"")</f>
        <v/>
      </c>
      <c r="E110" s="22" t="str">
        <f>IF(A110&lt;&gt;"",B6,"")</f>
        <v/>
      </c>
      <c r="F110" s="22" t="str">
        <f t="shared" si="1"/>
        <v/>
      </c>
      <c r="G110" s="22" t="str">
        <f>IF(A110&lt;&gt;"",F110*B7/100,"")</f>
        <v/>
      </c>
      <c r="H110" s="22" t="str">
        <f>IF(A110&lt;&gt;"",H109+B3*12+D110-G110,"")</f>
        <v/>
      </c>
    </row>
  </sheetData>
  <sheetProtection algorithmName="SHA-512" hashValue="/CAemraMqfD9uiKjNklpHRGTAgvfxEQugJRmLz1m4MO8aE4zgodvCa8o9IKkfwzTb2iAzZyx1wBwj8blinbMTg==" saltValue="kQ/RHlXkp1FnUYzzFDvkDA==" spinCount="100000" sheet="1" objects="1" scenarios="1" selectLockedCells="1"/>
  <mergeCells count="1">
    <mergeCell ref="E4:G4"/>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Auto-ETF Tabelle</vt:lpstr>
      <vt:lpstr>Bere. Autokredit vs- ETF</vt:lpstr>
      <vt:lpstr>Bere. Autokredit vs- Auto+ETF</vt:lpstr>
      <vt:lpstr>'Auto-ETF Tabelle'!Druckbereich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 Malesevic</dc:creator>
  <cp:lastModifiedBy>Zoran Malesevic</cp:lastModifiedBy>
  <cp:lastPrinted>2025-10-21T17:58:34Z</cp:lastPrinted>
  <dcterms:created xsi:type="dcterms:W3CDTF">2023-11-22T04:24:45Z</dcterms:created>
  <dcterms:modified xsi:type="dcterms:W3CDTF">2026-03-16T04:55:48Z</dcterms:modified>
</cp:coreProperties>
</file>